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705" yWindow="-15" windowWidth="9540" windowHeight="11970"/>
  </bookViews>
  <sheets>
    <sheet name="Лист1 (2)" sheetId="5" r:id="rId1"/>
    <sheet name="Лист3" sheetId="3" r:id="rId2"/>
    <sheet name="Лист2" sheetId="4" r:id="rId3"/>
  </sheets>
  <definedNames>
    <definedName name="_xlnm.Print_Titles" localSheetId="0">'Лист1 (2)'!$8:$8</definedName>
  </definedNames>
  <calcPr calcId="124519"/>
</workbook>
</file>

<file path=xl/calcChain.xml><?xml version="1.0" encoding="utf-8"?>
<calcChain xmlns="http://schemas.openxmlformats.org/spreadsheetml/2006/main">
  <c r="E212" i="5"/>
  <c r="E211"/>
  <c r="E248"/>
  <c r="E254"/>
  <c r="E252"/>
  <c r="E246"/>
  <c r="E307"/>
  <c r="E549"/>
  <c r="E79"/>
  <c r="E73"/>
  <c r="E32"/>
  <c r="E129"/>
  <c r="E128"/>
  <c r="E261"/>
  <c r="E317"/>
  <c r="E277"/>
  <c r="E390"/>
  <c r="E388"/>
  <c r="E207"/>
  <c r="E199"/>
  <c r="E193"/>
  <c r="E191"/>
  <c r="E189"/>
  <c r="E181"/>
  <c r="E501"/>
  <c r="E496"/>
  <c r="E386"/>
  <c r="E292"/>
  <c r="E299"/>
  <c r="E13"/>
  <c r="E536"/>
  <c r="E434"/>
  <c r="E442"/>
  <c r="E433"/>
  <c r="E23"/>
  <c r="E150" l="1"/>
  <c r="E535"/>
  <c r="E414"/>
  <c r="E372"/>
  <c r="E373"/>
  <c r="E69"/>
  <c r="E54"/>
  <c r="E608"/>
  <c r="E554"/>
  <c r="E268"/>
  <c r="E85"/>
  <c r="E80"/>
  <c r="E65"/>
  <c r="E63"/>
  <c r="E515"/>
  <c r="E510"/>
  <c r="E509"/>
  <c r="E504"/>
  <c r="E505"/>
  <c r="E506"/>
  <c r="E497"/>
  <c r="E579"/>
  <c r="E578"/>
  <c r="E576"/>
  <c r="E569"/>
  <c r="E489"/>
  <c r="E483"/>
  <c r="E480"/>
  <c r="E479"/>
  <c r="E466"/>
  <c r="E465"/>
  <c r="E464"/>
  <c r="E462"/>
  <c r="E457"/>
  <c r="E446"/>
  <c r="E443"/>
  <c r="E440"/>
  <c r="E435"/>
  <c r="E422"/>
  <c r="E420"/>
  <c r="E123"/>
  <c r="E122"/>
  <c r="E112"/>
  <c r="E403"/>
  <c r="E402"/>
  <c r="E401"/>
  <c r="E394"/>
  <c r="E365"/>
  <c r="E302"/>
  <c r="E296"/>
  <c r="E271"/>
  <c r="E151"/>
  <c r="E154"/>
  <c r="E152"/>
  <c r="E59"/>
  <c r="E55"/>
  <c r="E53"/>
  <c r="E613"/>
  <c r="E604"/>
  <c r="E598"/>
  <c r="E599"/>
  <c r="E586"/>
  <c r="E593"/>
  <c r="E592"/>
  <c r="E587"/>
  <c r="E588"/>
  <c r="E539"/>
  <c r="E533"/>
  <c r="E529"/>
  <c r="E472"/>
  <c r="E469"/>
  <c r="E470"/>
  <c r="E413"/>
  <c r="E412"/>
  <c r="E336"/>
  <c r="E330"/>
  <c r="E326"/>
  <c r="E324"/>
  <c r="E322"/>
  <c r="E320"/>
  <c r="E305"/>
  <c r="E294"/>
  <c r="E242"/>
  <c r="E256"/>
  <c r="E235"/>
  <c r="E231"/>
  <c r="E221"/>
  <c r="E259"/>
  <c r="E203"/>
  <c r="E195"/>
  <c r="E183"/>
  <c r="E166"/>
  <c r="E164"/>
  <c r="E160"/>
  <c r="E146"/>
  <c r="E144"/>
  <c r="E100"/>
  <c r="E92"/>
  <c r="E90"/>
  <c r="E88"/>
  <c r="E68"/>
  <c r="E67"/>
  <c r="E71"/>
  <c r="E31"/>
  <c r="E537" l="1"/>
  <c r="E75"/>
  <c r="E27"/>
  <c r="E24"/>
  <c r="E21"/>
  <c r="E19"/>
  <c r="E266" l="1"/>
  <c r="E432" l="1"/>
  <c r="E135"/>
  <c r="E130"/>
  <c r="E395"/>
  <c r="E392"/>
  <c r="E208"/>
  <c r="E201"/>
  <c r="E596"/>
  <c r="E591"/>
  <c r="E304"/>
  <c r="E108" l="1"/>
  <c r="E64" l="1"/>
  <c r="E555" l="1"/>
  <c r="E552"/>
  <c r="E306"/>
  <c r="E287"/>
  <c r="E284"/>
  <c r="E113"/>
  <c r="E314"/>
  <c r="E597"/>
  <c r="E584"/>
  <c r="E424"/>
  <c r="E409"/>
  <c r="E407"/>
  <c r="E356"/>
  <c r="E303"/>
  <c r="E281"/>
  <c r="E253"/>
  <c r="E99"/>
  <c r="E251"/>
  <c r="E250"/>
  <c r="E240"/>
  <c r="E238"/>
  <c r="E234"/>
  <c r="E230"/>
  <c r="E216"/>
  <c r="E583" l="1"/>
  <c r="E532"/>
  <c r="E312"/>
  <c r="E511"/>
  <c r="E437"/>
  <c r="E428"/>
  <c r="E125"/>
  <c r="E119"/>
  <c r="E117"/>
  <c r="E205"/>
  <c r="E538"/>
  <c r="E473"/>
  <c r="E360"/>
  <c r="E227"/>
  <c r="E225"/>
  <c r="E192" l="1"/>
  <c r="E359"/>
  <c r="E568"/>
  <c r="E187"/>
  <c r="E185"/>
  <c r="E179"/>
  <c r="E174"/>
  <c r="E47"/>
  <c r="E134"/>
  <c r="E170"/>
  <c r="E488"/>
  <c r="E459"/>
  <c r="E229"/>
  <c r="E223"/>
  <c r="E197"/>
  <c r="E46" l="1"/>
  <c r="E573"/>
  <c r="E463"/>
  <c r="E107" l="1"/>
  <c r="E34"/>
  <c r="E431"/>
  <c r="E106" l="1"/>
  <c r="E430"/>
  <c r="E362"/>
  <c r="E274" l="1"/>
  <c r="E545" l="1"/>
  <c r="E557" l="1"/>
  <c r="E102"/>
  <c r="E157"/>
  <c r="E161"/>
  <c r="E551"/>
  <c r="E377"/>
  <c r="E368"/>
  <c r="E376" l="1"/>
  <c r="E101"/>
  <c r="E375" l="1"/>
  <c r="E267"/>
  <c r="E461"/>
  <c r="E513"/>
  <c r="E541"/>
  <c r="E357"/>
  <c r="E355"/>
  <c r="E353"/>
  <c r="E351"/>
  <c r="E349"/>
  <c r="E347"/>
  <c r="E345"/>
  <c r="E343"/>
  <c r="E341"/>
  <c r="E339"/>
  <c r="E337"/>
  <c r="E328"/>
  <c r="E280"/>
  <c r="E196"/>
  <c r="E194"/>
  <c r="E172"/>
  <c r="E534"/>
  <c r="E206"/>
  <c r="E540" l="1"/>
  <c r="E460"/>
  <c r="E612" l="1"/>
  <c r="E607"/>
  <c r="E603"/>
  <c r="E595"/>
  <c r="E582"/>
  <c r="E567"/>
  <c r="E564"/>
  <c r="E562"/>
  <c r="E553"/>
  <c r="E548"/>
  <c r="E544"/>
  <c r="E522"/>
  <c r="E516"/>
  <c r="E487"/>
  <c r="E482"/>
  <c r="E471"/>
  <c r="E458"/>
  <c r="E456"/>
  <c r="E452"/>
  <c r="E448"/>
  <c r="E445"/>
  <c r="E425"/>
  <c r="E423"/>
  <c r="E421"/>
  <c r="E411"/>
  <c r="E408"/>
  <c r="E393"/>
  <c r="E391"/>
  <c r="E389"/>
  <c r="E387"/>
  <c r="E385"/>
  <c r="E381"/>
  <c r="E370"/>
  <c r="E366"/>
  <c r="E364"/>
  <c r="E335"/>
  <c r="E333"/>
  <c r="E331"/>
  <c r="E329"/>
  <c r="E327"/>
  <c r="E325"/>
  <c r="E323"/>
  <c r="E316" s="1"/>
  <c r="E319"/>
  <c r="E301"/>
  <c r="E295"/>
  <c r="E293"/>
  <c r="E291"/>
  <c r="E283"/>
  <c r="E276"/>
  <c r="E265"/>
  <c r="E260"/>
  <c r="E258"/>
  <c r="E255"/>
  <c r="E249"/>
  <c r="E247"/>
  <c r="E245"/>
  <c r="E243"/>
  <c r="E239"/>
  <c r="E237"/>
  <c r="E232"/>
  <c r="E228"/>
  <c r="E226"/>
  <c r="E220"/>
  <c r="E210"/>
  <c r="E204"/>
  <c r="E200"/>
  <c r="E198"/>
  <c r="E190"/>
  <c r="E188"/>
  <c r="E186"/>
  <c r="E184"/>
  <c r="E182"/>
  <c r="E180"/>
  <c r="E178"/>
  <c r="E173"/>
  <c r="E171"/>
  <c r="E169"/>
  <c r="E167"/>
  <c r="E165"/>
  <c r="E163"/>
  <c r="E159"/>
  <c r="E147"/>
  <c r="E143"/>
  <c r="E139"/>
  <c r="E127"/>
  <c r="E124"/>
  <c r="E121"/>
  <c r="E118"/>
  <c r="E116"/>
  <c r="E111"/>
  <c r="E43"/>
  <c r="E40"/>
  <c r="E37"/>
  <c r="E26"/>
  <c r="E22"/>
  <c r="E20"/>
  <c r="E12"/>
  <c r="E611" l="1"/>
  <c r="E273"/>
  <c r="E264" s="1"/>
  <c r="E384"/>
  <c r="E300"/>
  <c r="E606"/>
  <c r="E110"/>
  <c r="E550"/>
  <c r="E594"/>
  <c r="E455"/>
  <c r="E156"/>
  <c r="E581"/>
  <c r="E590"/>
  <c r="E602"/>
  <c r="E577"/>
  <c r="E574"/>
  <c r="E571"/>
  <c r="E543"/>
  <c r="E547"/>
  <c r="E521"/>
  <c r="E528"/>
  <c r="E500"/>
  <c r="E514"/>
  <c r="E495"/>
  <c r="E494" s="1"/>
  <c r="E512"/>
  <c r="E439"/>
  <c r="E451"/>
  <c r="E468"/>
  <c r="E427"/>
  <c r="E441"/>
  <c r="E447"/>
  <c r="E419"/>
  <c r="E406"/>
  <c r="E410"/>
  <c r="E380"/>
  <c r="E311"/>
  <c r="E321"/>
  <c r="E298"/>
  <c r="E286"/>
  <c r="E282"/>
  <c r="E215"/>
  <c r="E222"/>
  <c r="E224"/>
  <c r="E241"/>
  <c r="E202"/>
  <c r="E30"/>
  <c r="E257"/>
  <c r="E400"/>
  <c r="E290"/>
  <c r="E486"/>
  <c r="E58"/>
  <c r="E62"/>
  <c r="E66"/>
  <c r="E70"/>
  <c r="E72"/>
  <c r="E74"/>
  <c r="E78"/>
  <c r="E84"/>
  <c r="E87"/>
  <c r="E89"/>
  <c r="E478"/>
  <c r="E138"/>
  <c r="E145"/>
  <c r="E561"/>
  <c r="E120"/>
  <c r="E126"/>
  <c r="E11"/>
  <c r="E36"/>
  <c r="E52"/>
  <c r="E98"/>
  <c r="E115"/>
  <c r="E508"/>
  <c r="E18"/>
  <c r="E91"/>
  <c r="E142" l="1"/>
  <c r="E285"/>
  <c r="E610"/>
  <c r="E236"/>
  <c r="E467"/>
  <c r="E177"/>
  <c r="E95"/>
  <c r="E219"/>
  <c r="E77"/>
  <c r="E405"/>
  <c r="E404" s="1"/>
  <c r="E605"/>
  <c r="E29"/>
  <c r="E454"/>
  <c r="E570"/>
  <c r="E566" s="1"/>
  <c r="E546"/>
  <c r="E601"/>
  <c r="E531"/>
  <c r="E560"/>
  <c r="E527"/>
  <c r="E520"/>
  <c r="E507"/>
  <c r="E481"/>
  <c r="E499"/>
  <c r="E477"/>
  <c r="E450"/>
  <c r="E418"/>
  <c r="E383"/>
  <c r="E399"/>
  <c r="E310"/>
  <c r="E297"/>
  <c r="E57"/>
  <c r="E83"/>
  <c r="E279"/>
  <c r="E214"/>
  <c r="E109"/>
  <c r="E61"/>
  <c r="E141"/>
  <c r="E137"/>
  <c r="E15"/>
  <c r="E51"/>
  <c r="E86"/>
  <c r="E10"/>
  <c r="E530" l="1"/>
  <c r="E585"/>
  <c r="E105"/>
  <c r="E379"/>
  <c r="E82"/>
  <c r="E28"/>
  <c r="E315"/>
  <c r="E76"/>
  <c r="E609"/>
  <c r="E278"/>
  <c r="E417"/>
  <c r="E416" s="1"/>
  <c r="E94"/>
  <c r="E600"/>
  <c r="E559"/>
  <c r="E519"/>
  <c r="E526"/>
  <c r="E176"/>
  <c r="E476"/>
  <c r="E493"/>
  <c r="E503"/>
  <c r="E453"/>
  <c r="E449"/>
  <c r="E56"/>
  <c r="E398"/>
  <c r="E309"/>
  <c r="E289"/>
  <c r="E218"/>
  <c r="E213"/>
  <c r="E149"/>
  <c r="E136"/>
  <c r="E140"/>
  <c r="E14"/>
  <c r="E50"/>
  <c r="E580" l="1"/>
  <c r="E308"/>
  <c r="E429"/>
  <c r="E475"/>
  <c r="E60"/>
  <c r="E263"/>
  <c r="E217"/>
  <c r="E93"/>
  <c r="E133"/>
  <c r="E525"/>
  <c r="E518"/>
  <c r="E492"/>
  <c r="E502"/>
  <c r="E397"/>
  <c r="E175"/>
  <c r="E104"/>
  <c r="E9"/>
  <c r="E415" l="1"/>
  <c r="E132"/>
  <c r="E131" s="1"/>
  <c r="E491"/>
  <c r="E262"/>
  <c r="E614" l="1"/>
</calcChain>
</file>

<file path=xl/sharedStrings.xml><?xml version="1.0" encoding="utf-8"?>
<sst xmlns="http://schemas.openxmlformats.org/spreadsheetml/2006/main" count="1790" uniqueCount="563">
  <si>
    <t>Благовещенской</t>
  </si>
  <si>
    <t>городской Думы</t>
  </si>
  <si>
    <t>тыс.руб.</t>
  </si>
  <si>
    <t>Наименование</t>
  </si>
  <si>
    <t>РПР</t>
  </si>
  <si>
    <t>ЦСР</t>
  </si>
  <si>
    <t>ВР</t>
  </si>
  <si>
    <t>Сумма</t>
  </si>
  <si>
    <t>Общегосударственные вопросы</t>
  </si>
  <si>
    <t>0100</t>
  </si>
  <si>
    <t>Глава муниципального образования</t>
  </si>
  <si>
    <t>0102</t>
  </si>
  <si>
    <t>00 0 0001</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</si>
  <si>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</si>
  <si>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</si>
  <si>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</si>
  <si>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</si>
  <si>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00 0 0000</t>
  </si>
  <si>
    <t>Председатель представительного органа муниципального образования</t>
  </si>
  <si>
    <t>00 0 0002</t>
  </si>
  <si>
    <t>Заместитель председателя представительного органа муниципального образования</t>
  </si>
  <si>
    <t>00 0 0003</t>
  </si>
  <si>
    <t>Депутаты  представительного органа муниципального образования</t>
  </si>
  <si>
    <t>00 0 0004</t>
  </si>
  <si>
    <t>Обеспечение деятельности Благовещенской городской Думы</t>
  </si>
  <si>
    <t>00 0 0005</t>
  </si>
  <si>
    <t>Закупка товаров, работ и услуг для государственных(муниципальных) нужд</t>
  </si>
  <si>
    <t>Иные бюджетные ассигнования</t>
  </si>
  <si>
    <t>Компенсация расходов, связанных с депутатской деятельностью</t>
  </si>
  <si>
    <t>00 0 0006</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</si>
  <si>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</si>
  <si>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0104</t>
  </si>
  <si>
    <t>Расходы на обеспечение функций исполнительно-распорядительного, контрольного органов муниципального образования</t>
  </si>
  <si>
    <t>00 0 0007</t>
  </si>
  <si>
    <t>Расходы на выполнение государственных полномочий</t>
  </si>
  <si>
    <t>00 1 0000</t>
  </si>
  <si>
    <t>Организация и осуществление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здравоохранения Амурской области на 2014 – 2020 годы»</t>
  </si>
  <si>
    <t>00 1 8736</t>
  </si>
  <si>
    <t>100</t>
  </si>
  <si>
    <t>200</t>
  </si>
  <si>
    <t>Выполнение государственных функций по организационному обеспечению деятельности административных комиссий области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 – 2020 годы»</t>
  </si>
  <si>
    <t>00 1 8843</t>
  </si>
  <si>
    <t>Организация деятельности комиссий по делам несовершеннолетних и защите их прав в рамках подпрограммы «Развитие системы защиты прав детей» государственной программы «Развитие образования Амурской области на 2014 – 2020 годы»</t>
  </si>
  <si>
    <t>00 1 8729</t>
  </si>
  <si>
    <t>Обеспечение деятельности  финансовых, налоговых и таможенных органов и органов финансового (финансово-бюджетного) надзора</t>
  </si>
  <si>
    <t>0106</t>
  </si>
  <si>
    <t>Резервные фонды</t>
  </si>
  <si>
    <t>0111</t>
  </si>
  <si>
    <t>Резервный фонд администрации города Благовещенска</t>
  </si>
  <si>
    <t>00 0 2001</t>
  </si>
  <si>
    <t>Другие общегосударственные вопросы</t>
  </si>
  <si>
    <t>0113</t>
  </si>
  <si>
    <t>Расходы на обеспечение деятельности (оказания услуг, выполнение работ) муниципальных организаций  (учреждений)</t>
  </si>
  <si>
    <t>00 0 1059</t>
  </si>
  <si>
    <t xml:space="preserve">Расходы на оплату органами местного самоуправления членских и целевых взносов </t>
  </si>
  <si>
    <t>00 0 6025</t>
  </si>
  <si>
    <t>Предоставление субсидий бюджетным, автономным
учреждениям и иным некоммерческим организациям</t>
  </si>
  <si>
    <t>Расходы  на оплату исполнительных документов</t>
  </si>
  <si>
    <t>00 0 7002</t>
  </si>
  <si>
    <t>Финансовое обеспечение поощрений за заслуги перед муниципальным образованием городом Благовещенском</t>
  </si>
  <si>
    <t>00 0 8011</t>
  </si>
  <si>
    <t>Социальное обеспечение и иные выплаты населению</t>
  </si>
  <si>
    <t>Муниципальная программа "Обеспечение доступным и комфортным жильём населения города Благовещенска на 2015-2020 годы"</t>
  </si>
  <si>
    <t>01 0 0000</t>
  </si>
  <si>
    <t>Подпрограмма "Обеспечение реализации муниципальной программы "Обеспечение доступным и комфортным жильём населения города Благовещенска на 2015-2020 годы"</t>
  </si>
  <si>
    <t>01 4 0000</t>
  </si>
  <si>
    <t>Расходы на обеспечение деятельности (оказание услуг, выполнение работ) муниципальных организаций (учреждений)</t>
  </si>
  <si>
    <t>01 4 1059</t>
  </si>
  <si>
    <t>03 0 0000</t>
  </si>
  <si>
    <t>Подпрограмма "Энергосбережение и повышение энергетической эффективности в городе Благовещенске"</t>
  </si>
  <si>
    <t>03 2 0000</t>
  </si>
  <si>
    <t>Государственная регистрация права муниципальной  собственности на  выявленные  бесхозяйные объекты  инженерной инфраструктуры</t>
  </si>
  <si>
    <t>03 2 6023</t>
  </si>
  <si>
    <t>Муниципальная программа "Развитие информационного общества города Благовещенска на 2015-2020 годы"</t>
  </si>
  <si>
    <t>10 0 0000</t>
  </si>
  <si>
    <t>10 0 1030</t>
  </si>
  <si>
    <t>10 0 1059</t>
  </si>
  <si>
    <t>Предоставление субсидий бюджетным, автономным учреждениям и иным некоммерческим организациям</t>
  </si>
  <si>
    <t>Капитальный ремонт помещения, расположенного по адресу: ул.50 лет Октября, 8/2 (в т.ч. проектные работы)</t>
  </si>
  <si>
    <t>10 0 4022</t>
  </si>
  <si>
    <t>Национальная оборона</t>
  </si>
  <si>
    <t>0200</t>
  </si>
  <si>
    <t>Мобилизационная подготовка экономики</t>
  </si>
  <si>
    <t>0204</t>
  </si>
  <si>
    <t>Техническая зашита информации</t>
  </si>
  <si>
    <t>00 0 0008</t>
  </si>
  <si>
    <t>Мобилизационная подготовка</t>
  </si>
  <si>
    <t>00 0 0009</t>
  </si>
  <si>
    <t xml:space="preserve">Национальная безопасность  и правоохранительная деятельность </t>
  </si>
  <si>
    <t>0300</t>
  </si>
  <si>
    <t xml:space="preserve">Защита населения  и территории от чрезвычайных  ситуаций  природного  и техногенного  характера, гражданская оборона </t>
  </si>
  <si>
    <t>0309</t>
  </si>
  <si>
    <t>Муниципальная программа "Обеспечение безопасности жизнедеятельности населения и территории города Благовещенска на 2015-2020 годы"</t>
  </si>
  <si>
    <t>08 0 0000</t>
  </si>
  <si>
    <t>Подпрограмма "Профилактика нарушений общественного порядка, терроризма и экстремизма"</t>
  </si>
  <si>
    <t>08 1 0000</t>
  </si>
  <si>
    <t>Создание и модернизация  участков видеонаблюдения</t>
  </si>
  <si>
    <t>08 1 1034</t>
  </si>
  <si>
    <t>Подпрограмма  "Обеспечение безопасности людей на водных объектах, охраны их жизни и здоровья на территории города Благовещенска"</t>
  </si>
  <si>
    <t>08 2 0000</t>
  </si>
  <si>
    <t>Организационное обеспечение и проведение мероприятий по профилактической работе по вопросам безопасного поведения на воде</t>
  </si>
  <si>
    <t>08 2 1036</t>
  </si>
  <si>
    <t>Организационное обеспечение и проведение мероприятий по созданию спасательных постов</t>
  </si>
  <si>
    <t>08 2 1039</t>
  </si>
  <si>
    <t>Подпрограмма "Обеспечение первичных   мер  пожарной безопасности на территории города Благовещенска"</t>
  </si>
  <si>
    <t>08 3 0000</t>
  </si>
  <si>
    <t>Предупреждение лесных пожаров</t>
  </si>
  <si>
    <t>08 3 1042</t>
  </si>
  <si>
    <t>Пропаганда мероприятий по предупреждению пожаров</t>
  </si>
  <si>
    <t>08 3 1043</t>
  </si>
  <si>
    <t>Подпрограмма "Обеспечение реализации муниципальной программы "Обеспечение безопасности жизнедеятельности населения и территории города Благовещенска на 2015-2020 годы""</t>
  </si>
  <si>
    <t>08 6 0000</t>
  </si>
  <si>
    <t>08 6 1059</t>
  </si>
  <si>
    <t>Национальная экономика</t>
  </si>
  <si>
    <t>0400</t>
  </si>
  <si>
    <t>Сельское хозяйство и рыболовство</t>
  </si>
  <si>
    <t>0405</t>
  </si>
  <si>
    <t>Расходы на осуществление отдельных государственных полномочий по регулированию численности безнадзорных животных</t>
  </si>
  <si>
    <t>00 1 6970</t>
  </si>
  <si>
    <t>Расходы на осуществление отдельных полномочий по регулированию численности безнадзорных животных в рамках подпрограммы «Обеспечение эпизоотического и ветеринарно-санитарного благополучия на территории области» государственной программы «Развитие сельского хозяйства и регулирование рынков сельскохозяйственной продукции, сырья и продовольствия Амурской области на 2014-2020 годы»</t>
  </si>
  <si>
    <t>Водное хозяйство</t>
  </si>
  <si>
    <t>0406</t>
  </si>
  <si>
    <t>Подпрограмма "Охрана окружающей среды и обеспечение экологической безопасности населения города Благовещенска"</t>
  </si>
  <si>
    <t>08 4 0000</t>
  </si>
  <si>
    <t xml:space="preserve">Берегоукрепление и реконструкция набережной р. Амур, г. Благовещенск </t>
  </si>
  <si>
    <t>08 4 4002</t>
  </si>
  <si>
    <t>Капитальные вложения в объекты недвижимого имущества государственной (муниципальной) собственности</t>
  </si>
  <si>
    <t>08 4 4021</t>
  </si>
  <si>
    <t>Транспорт</t>
  </si>
  <si>
    <t>0408</t>
  </si>
  <si>
    <t>Муниципальная программа "Развитие транспортной системы города Благовещенска на 2015-2020 годы"</t>
  </si>
  <si>
    <t>02 0 0000</t>
  </si>
  <si>
    <t>Подпрограмма "Развитие пассажирского транспорта в городе Благовещенске"</t>
  </si>
  <si>
    <t>02 2 0000</t>
  </si>
  <si>
    <t>02 2 1059</t>
  </si>
  <si>
    <t>Субсидии транспортным предприятиям на компенсацию  выпадающих доходов по тарифам, не обеспечивающим экономически обоснованные  затраты</t>
  </si>
  <si>
    <t>02 2 6002</t>
  </si>
  <si>
    <t>02 2 6003</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</si>
  <si>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</si>
  <si>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02 2 6004</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</si>
  <si>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Зейская</t>
  </si>
  <si>
    <t>02 2 6005</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</si>
  <si>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</si>
  <si>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02 2 6006</t>
  </si>
  <si>
    <t>Обеспечение беспрепятственного доступа инвалидов к услугам транспорта и транспортной инфраструктуре города Благовещенска</t>
  </si>
  <si>
    <t>02 2 1017</t>
  </si>
  <si>
    <t>Дорожное хозяйство (дорожные фонды)</t>
  </si>
  <si>
    <t>0409</t>
  </si>
  <si>
    <t>Подпрограмма "Осуществление дорожной деятельности в отношении автомобильных дорог общего пользования местного значения"</t>
  </si>
  <si>
    <t>02 1 0000</t>
  </si>
  <si>
    <t>Магистральные улицы Северного планировочного района г.Благовещенска, Амурская область (ул.Шафира от ул.Муравьева-Амурского до ул.50 лет Октября) (проектные работы)</t>
  </si>
  <si>
    <t>02 1 4004</t>
  </si>
  <si>
    <t>Строительство дорог в районе "5-й стройки" для обеспечения транспортной инфраструктурой земельных участков, предоставленных многодетным семьям (проектные работы)</t>
  </si>
  <si>
    <t>02 1 4005</t>
  </si>
  <si>
    <t>02 1 4006</t>
  </si>
  <si>
    <t>Капитальный ремонт перекрестка ул.Мухина и ул.Игнатьевское шоссе (проектные работы)</t>
  </si>
  <si>
    <t>02 1 4007</t>
  </si>
  <si>
    <t>Капитальный ремонт ул.Мухина от ул.Пролетарская до ул.Зейская (проектные работы)</t>
  </si>
  <si>
    <t>02 1 4008</t>
  </si>
  <si>
    <t>02 1 6007</t>
  </si>
  <si>
    <t>Субсидии юридическим лицам, выполняющим работы, оказывающим услуги по содержанию и обслуживанию средств регулирования дорожного движения</t>
  </si>
  <si>
    <t>02 1 6008</t>
  </si>
  <si>
    <t>Ремонт улично-дорожной сети города Благовещенска</t>
  </si>
  <si>
    <t>02 1 6009</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</si>
  <si>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</si>
  <si>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02 1 6010</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</si>
  <si>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благоустройства территории города Благовещенска на 2015-2020 годы"</t>
  </si>
  <si>
    <t>Подпрограмма "Благоустройство территории города Благовещенска"</t>
  </si>
  <si>
    <t>03 4 0000</t>
  </si>
  <si>
    <t>Проведение капитального ремонта и ремонта дворовых территорий многоквартирных домов, проездов к дворовым территориям многоквартирных домов</t>
  </si>
  <si>
    <t>03 4 6011</t>
  </si>
  <si>
    <t>Другие вопросы в области национальной экономики</t>
  </si>
  <si>
    <t>0412</t>
  </si>
  <si>
    <t>Муниципальная программа "Экономическое развитие города Благовещенска на 2015-2020 годы"</t>
  </si>
  <si>
    <t>09 0 0000</t>
  </si>
  <si>
    <t>Подпрограмма "Развитие туризма в городе Благовещенске"</t>
  </si>
  <si>
    <t>09 1 0000</t>
  </si>
  <si>
    <t>Реконструкция канализационного коллектора от Северного жилого района до очистных сооружений канализации, г.Благовещенск, Амурская область 4-я очередь</t>
  </si>
  <si>
    <t>09 1 4010</t>
  </si>
  <si>
    <t>Очистные сооружения ливневой канализации центрально-исторического планировочного района г.Благовещенска  ( в т.ч. проектные работы)</t>
  </si>
  <si>
    <t>09 1 4014</t>
  </si>
  <si>
    <t>09 1 4015</t>
  </si>
  <si>
    <t>Строительство сетей водоотведения туристко-развлекательной зоны "Золотая миля" (проектные работы)</t>
  </si>
  <si>
    <t>09 1 4016</t>
  </si>
  <si>
    <t>Строительство сетей теплоснабжения туристко-развлекательной зоны "Золотая миля" (проектные работы)</t>
  </si>
  <si>
    <t>09 1 4017</t>
  </si>
  <si>
    <t>Подпрограмма "Развитие малого и среднего предпринимательства"</t>
  </si>
  <si>
    <t>09 2 0000</t>
  </si>
  <si>
    <t>Развитие инфраструктуры поддержки малого и среднего предпринимательства</t>
  </si>
  <si>
    <t>09 2 1031</t>
  </si>
  <si>
    <t>Организационная, информационная, консультационная поддержка, поддержка в области повышения инвестиционной активности в сфере малого и среднего предпринимательства</t>
  </si>
  <si>
    <t>09 2 1032</t>
  </si>
  <si>
    <t>Строительство здания бизнес-инкубатора (проектные работы)</t>
  </si>
  <si>
    <t>09 2 4020</t>
  </si>
  <si>
    <t>800</t>
  </si>
  <si>
    <t>09 2 8004</t>
  </si>
  <si>
    <t>09 2 8005</t>
  </si>
  <si>
    <t>Гранты в форме субсидий субъектам малого и среднего предпринимательства на оплату участия в международных и межрегиональных выставочно-ярмарочных и конгрессных мероприятиях</t>
  </si>
  <si>
    <t>09 2 8006</t>
  </si>
  <si>
    <t>11 0 0000</t>
  </si>
  <si>
    <t>11 0 1024</t>
  </si>
  <si>
    <t xml:space="preserve">Жилищно-коммунальное хозяйство </t>
  </si>
  <si>
    <t>0500</t>
  </si>
  <si>
    <t xml:space="preserve">Жилищное  хозяйство </t>
  </si>
  <si>
    <t>0501</t>
  </si>
  <si>
    <t>Подпрограмма "Переселение граждан из аварийного жилищного фонда на территории города Благовещенска"</t>
  </si>
  <si>
    <t>01 1 0000</t>
  </si>
  <si>
    <t>Обеспечение мероприятий по переселению граждан из аварийного жилищного фонда</t>
  </si>
  <si>
    <t>01 1 1049</t>
  </si>
  <si>
    <t>Содержание муниципального жилья</t>
  </si>
  <si>
    <t>01 4 6001</t>
  </si>
  <si>
    <t>Подпрограмма "Повышение качества и надежности жилищно-коммунального обслуживания населения, обеспечение доступности коммунальных услуг"</t>
  </si>
  <si>
    <t>03 1 0000</t>
  </si>
  <si>
    <t>Субсидии юридическим лицам, предоставляющим населению жилищные услуги по тарифам, не обеспечивающим возмещения затрат (неблагоустроенный жилищный фонд и общежития)</t>
  </si>
  <si>
    <t>03 1 6012</t>
  </si>
  <si>
    <t>Текущий и капитальный ремонт выгребных ям, строительство и ремонт дворовых уборных и подъездных путей к ним в неблагоустроенном жилищном фонде</t>
  </si>
  <si>
    <t>03 1 6013</t>
  </si>
  <si>
    <t>Расходы на организацию проведения конкурсов по отбору управляющих организаций</t>
  </si>
  <si>
    <t>03 1 6014</t>
  </si>
  <si>
    <t>Подпрограмма "Капитальный ремонт жилищного фонда города Благовещенска"</t>
  </si>
  <si>
    <t>03 3 0000</t>
  </si>
  <si>
    <t>Обеспечение мероприятия по капитальному ремонту общего имущества в многоквартирных домах</t>
  </si>
  <si>
    <t>03 3 1022</t>
  </si>
  <si>
    <t xml:space="preserve">Коммунальное хозяйство </t>
  </si>
  <si>
    <t>0502</t>
  </si>
  <si>
    <t>Компенсация теплоснабжающим организациям выпадающих доходов, возникающих в результате установления льготных тарифов для населения Амурской области</t>
  </si>
  <si>
    <t>00 1 8712</t>
  </si>
  <si>
    <t>Компенсация теплоснабжающим организациям выпадающих доходов, возникающих в результате установления льготных тарифов для населения Амурской области в рамках подпрограммы «Обеспечение доступности коммунальных услуг, повышение качества и надежности жилищно – коммунального обслуживания населения» государственной программы «Модернизация жилищно – коммунального комплекса, энергосбережение и повышение энергетической эффективности в Амурской области на 2014–2020 годы»</t>
  </si>
  <si>
    <t>Строительство водопроводных сетей в районе "5 стройка"</t>
  </si>
  <si>
    <t>03 1 4009</t>
  </si>
  <si>
    <t>Строительство мусороперерабатывающего комплекса «БлагЭко» в г. Благовещенске, (II очередь) Амурская область</t>
  </si>
  <si>
    <t>03 1 4011</t>
  </si>
  <si>
    <t>Очистные сооружения ливневой канализации в Северном планировочном районе (проектные работы)</t>
  </si>
  <si>
    <t>03 1 4012</t>
  </si>
  <si>
    <t>03 1 4019</t>
  </si>
  <si>
    <t>Субсидии юридическим лицам, предоставляющим населению услуги в отделениях бань</t>
  </si>
  <si>
    <t>03 1 6015</t>
  </si>
  <si>
    <t>Субсидии юридическим лицам на возмещение затрат, связанных с содержанием газового оборудования закрепленного за ними на праве хозяйственного ведения</t>
  </si>
  <si>
    <t>03 1 6016</t>
  </si>
  <si>
    <t xml:space="preserve">Благоустройство </t>
  </si>
  <si>
    <t>0503</t>
  </si>
  <si>
    <t>Субсидии юридическим лицам на возмещение затрат по содержанию санитарной службы и мест захоронения</t>
  </si>
  <si>
    <t>00 0 6026</t>
  </si>
  <si>
    <t>Оплата услуг по поставке электроэнергии на  уличное  освещение</t>
  </si>
  <si>
    <t>03 4 6017</t>
  </si>
  <si>
    <t>Субсидии юридическим лицам, выполняющим работы, оказывающим услуги по содержанию муниципальных сетей наружного освещения и световых устройств</t>
  </si>
  <si>
    <t>03 4 6018</t>
  </si>
  <si>
    <t>Субсидии юридическим лицам, выполняющим работы, оказывающим услуги по содержанию озелененных территорий общего пользования города Благовещенска</t>
  </si>
  <si>
    <t>03 4 6019</t>
  </si>
  <si>
    <t>Субсидии юридическим лицам на возмещение затрат, связанных с выполнением работ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</si>
  <si>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03 4 6020</t>
  </si>
  <si>
    <t xml:space="preserve">Прочие мероприятия по  благоустройству  городского округа </t>
  </si>
  <si>
    <t>03 4 6021</t>
  </si>
  <si>
    <t>Другие вопросы в области жилищно-коммунального хозяйства</t>
  </si>
  <si>
    <t>0505</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</si>
  <si>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</si>
  <si>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Подпрограмма "Обеспечение реализации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</si>
  <si>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03 5 0000</t>
  </si>
  <si>
    <t>03 5 0007</t>
  </si>
  <si>
    <t>08 4 4003</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</si>
  <si>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</si>
  <si>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11 0 1059</t>
  </si>
  <si>
    <t>Образование</t>
  </si>
  <si>
    <t>0700</t>
  </si>
  <si>
    <t>Дошкольное  образование</t>
  </si>
  <si>
    <t>0701</t>
  </si>
  <si>
    <t>Муниципальная программа "Развитие образования города Благовещенска на 2015-2020 годы"</t>
  </si>
  <si>
    <t>Подпрограмма "Развитие дошкольного, общего и дополнительного  образования детей"</t>
  </si>
  <si>
    <t>04 1 1059</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</si>
  <si>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</si>
  <si>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04 1 8751</t>
  </si>
  <si>
    <t>600</t>
  </si>
  <si>
    <t xml:space="preserve">Общее образование </t>
  </si>
  <si>
    <t>0702</t>
  </si>
  <si>
    <t xml:space="preserve">Капитальные вложения в объекты муниципальной собственности </t>
  </si>
  <si>
    <t>04 1 4001</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</si>
  <si>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</si>
  <si>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04 1 8726</t>
  </si>
  <si>
    <t>Муниципальная программа "Развитие и сохранение культуры в городе  Благовещенске на 2015-2020 годы"</t>
  </si>
  <si>
    <t>05 0 0000</t>
  </si>
  <si>
    <t>Подпрограмма " Дополнительное образование детей в сфере культуры"</t>
  </si>
  <si>
    <t>05 2 0000</t>
  </si>
  <si>
    <t>05 2 1059</t>
  </si>
  <si>
    <t>Молодежная политика  и оздоровление детей</t>
  </si>
  <si>
    <t>0707</t>
  </si>
  <si>
    <t>04 0 0000</t>
  </si>
  <si>
    <t>Подпрограмма  "Развитие системы защиты прав детей"</t>
  </si>
  <si>
    <t>04 2 0000</t>
  </si>
  <si>
    <t>Поведение  мероприятий  по организации отдыха детей в каникулярное время</t>
  </si>
  <si>
    <t>04 2 1004</t>
  </si>
  <si>
    <t>04 2 1059</t>
  </si>
  <si>
    <t>Частичная оплата стоимости путевок  для детей работающих граждан в организации отдыха и оздоровления детей в каникулярное время</t>
  </si>
  <si>
    <t>04 2 8001</t>
  </si>
  <si>
    <t>Муниципальная программа "Развитие потенциала молодежи города Благовещенска на 2015-2020 годы"</t>
  </si>
  <si>
    <t>07 0 0000</t>
  </si>
  <si>
    <t>Реализация мероприятий в области муниципальной молодежной политики</t>
  </si>
  <si>
    <t>07 0 1018</t>
  </si>
  <si>
    <t>07 0 1059</t>
  </si>
  <si>
    <t>Другие вопросы в области образования</t>
  </si>
  <si>
    <t>0709</t>
  </si>
  <si>
    <t>04 1 0000</t>
  </si>
  <si>
    <t>Детский сад на 340 мест в Северном планировочном районе (проектные работы)</t>
  </si>
  <si>
    <t>04 1 4013</t>
  </si>
  <si>
    <t>Организация и осуществление деятельности по опеке и попечительству в отношении несовершеннолетних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</si>
  <si>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04 2 8730</t>
  </si>
  <si>
    <t>Подпрограмма "Обеспечение реализации муниципальной программы "Развитие образования города Благовещенска на 2015-2020 годы" и прочие мероприятия  в области образования"</t>
  </si>
  <si>
    <t>04 3 0007</t>
  </si>
  <si>
    <t>04 3 1059</t>
  </si>
  <si>
    <t xml:space="preserve">Культура, кинематография </t>
  </si>
  <si>
    <t>0800</t>
  </si>
  <si>
    <t xml:space="preserve">Культура </t>
  </si>
  <si>
    <t>0801</t>
  </si>
  <si>
    <t>Подпрограмма"Библиотечное обслуживание"</t>
  </si>
  <si>
    <t>05 3 0000</t>
  </si>
  <si>
    <t>05 3 1059</t>
  </si>
  <si>
    <t>Подпрограмма  "Народное творчество и культурно-досуговая деятельность"</t>
  </si>
  <si>
    <t>05 4 0000</t>
  </si>
  <si>
    <t>05 4 1059</t>
  </si>
  <si>
    <t>Другие вопросы  в области культуры, кинематографии</t>
  </si>
  <si>
    <t>0804</t>
  </si>
  <si>
    <t>Подпрограмма "Историко-культурное наследие"</t>
  </si>
  <si>
    <t>05 1 0000</t>
  </si>
  <si>
    <t>Работы по сохранению объектов историко-культурного наследия</t>
  </si>
  <si>
    <t>05 1 1007</t>
  </si>
  <si>
    <t>Подпрограмма "Обеспечение реализации муниципальной программы "Развитие и сохранение культуры в городе  Благовещенске на 2015-2020 годы" и прочие расходы в сфере культуры"</t>
  </si>
  <si>
    <t>05 5 0000</t>
  </si>
  <si>
    <t>05 5 0007</t>
  </si>
  <si>
    <t>05  5 1059</t>
  </si>
  <si>
    <t>Реализация мероприятий по развитию и сохранению культуры в городе Благовещенске</t>
  </si>
  <si>
    <t>05 5 8002</t>
  </si>
  <si>
    <t>Социальная политика</t>
  </si>
  <si>
    <t>1000</t>
  </si>
  <si>
    <t>Пенсионное обеспечение</t>
  </si>
  <si>
    <t>1001</t>
  </si>
  <si>
    <t>Доплаты к пенсиям муниципальных служащих</t>
  </si>
  <si>
    <t>00 0 8012</t>
  </si>
  <si>
    <t>1003</t>
  </si>
  <si>
    <t>Дополнительное материальное обеспечение ветеранов культуры, искусства и спорта</t>
  </si>
  <si>
    <t>00 0 8008</t>
  </si>
  <si>
    <t>Предоставление мер социальной поддержки гражданам, награжденным званием "Почётный гражданин города Благовещенска"</t>
  </si>
  <si>
    <t>00 0 8009</t>
  </si>
  <si>
    <t xml:space="preserve">Единовременная денежная выплата лицам, награжденным медалью «За заслуги перед городом Благовещенском» </t>
  </si>
  <si>
    <t>00 0 8010</t>
  </si>
  <si>
    <t xml:space="preserve">Мероприятия  в области социальной политики </t>
  </si>
  <si>
    <t>00 0 8013</t>
  </si>
  <si>
    <t>Расходы на финансирование муниципального гранта</t>
  </si>
  <si>
    <t>00 0 8014</t>
  </si>
  <si>
    <t>Подпрограмма "Улучшение жилищных условий работников муниципальных организаций  города Благовещенска"</t>
  </si>
  <si>
    <t>01 2 0000</t>
  </si>
  <si>
    <t>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(приобретаемого), построенного жилья</t>
  </si>
  <si>
    <t>01 2 8007</t>
  </si>
  <si>
    <t>Подпрограмма "Обеспечение жильём молодых семей"</t>
  </si>
  <si>
    <t>01 3 0000</t>
  </si>
  <si>
    <t>Предоставление молодым семьям социальных выплат на приобретение (строительство) жилья</t>
  </si>
  <si>
    <t>01 3 8008</t>
  </si>
  <si>
    <t>Субсидии гражданам на приобретение жилья</t>
  </si>
  <si>
    <t>Охрана семьи и детства</t>
  </si>
  <si>
    <t>1004</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</si>
  <si>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«Обеспечение доступным и качественным жильем населения Амурской области на 2014 – 2020 годы»</t>
  </si>
  <si>
    <t>00 1 8732</t>
  </si>
  <si>
    <t>400</t>
  </si>
  <si>
    <t>Выплата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</si>
  <si>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04 1 8725</t>
  </si>
  <si>
    <t>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</si>
  <si>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04 2 1102</t>
  </si>
  <si>
    <t xml:space="preserve">Физическая культура и спорт </t>
  </si>
  <si>
    <t>1100</t>
  </si>
  <si>
    <t xml:space="preserve">Физическая культура </t>
  </si>
  <si>
    <t>1101</t>
  </si>
  <si>
    <t>Муниципальная программа "Развитие физической культуры и спорта в городе Благовещенске на 2015-2020 годы"</t>
  </si>
  <si>
    <t>06 0 0000</t>
  </si>
  <si>
    <t>06 0 1059</t>
  </si>
  <si>
    <t>Массовый спорт</t>
  </si>
  <si>
    <t>1102</t>
  </si>
  <si>
    <t>Совершенствование материально-технической базы для занятий физической культурой и спортом в городе</t>
  </si>
  <si>
    <t>06 0 1012</t>
  </si>
  <si>
    <t>Развитие массовой физкультурно-оздоровительной и спортивной работы с населением</t>
  </si>
  <si>
    <t>06 0 1013</t>
  </si>
  <si>
    <t>Развитие и поддержка спорта высших достижений среди взрослых  спортсменов и детей</t>
  </si>
  <si>
    <t>06 0 1015</t>
  </si>
  <si>
    <t>Создание условий для развития физической культуры и спорта  среди лиц с ограниченными физическими возможностями здоровья</t>
  </si>
  <si>
    <t>06 0 1016</t>
  </si>
  <si>
    <t>Средства массовой  информации</t>
  </si>
  <si>
    <t>1200</t>
  </si>
  <si>
    <t>Телевидение и радиовещание</t>
  </si>
  <si>
    <t>1201</t>
  </si>
  <si>
    <t>Периодическая печать и издательства</t>
  </si>
  <si>
    <t>1202</t>
  </si>
  <si>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</si>
  <si>
    <t>10 0 6022</t>
  </si>
  <si>
    <t>Обслуживание  государственного и муниципального долга</t>
  </si>
  <si>
    <t>1300</t>
  </si>
  <si>
    <t>Обслуживание государственного внутреннего и муниципального долга</t>
  </si>
  <si>
    <t>1301</t>
  </si>
  <si>
    <t>Процентные платежи по муниципальному долгу</t>
  </si>
  <si>
    <t>00 0 7001</t>
  </si>
  <si>
    <t>Обслуживание государственного (муниципального) долга</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</si>
  <si>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</si>
  <si>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ИТОГО РАСХОДОВ</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</si>
  <si>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</si>
  <si>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</si>
  <si>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Обеспечение мероприятий в сфере информационных технологий</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</si>
  <si>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предоставляемых многодетным семьям (проектные работы)</t>
  </si>
  <si>
    <t>Городское кладбище восточнее 17 км. Новотроицкого шоссе (Благоустройство II очереди строительства)</t>
  </si>
  <si>
    <t xml:space="preserve">к решению </t>
  </si>
  <si>
    <t xml:space="preserve">Функционирование высшего должностного лица субъекта Российской Федерации и муниципального образования
</t>
  </si>
  <si>
    <t xml:space="preserve">Социальное обеспечение населения
</t>
  </si>
  <si>
    <t xml:space="preserve">Разработка проектно-сметной документации на осуществление комплекса мер капитального характера по предотвращению подтопления территории г.Благовещенска в районе Асташинских озер </t>
  </si>
  <si>
    <t>Обеспечение мероприятий по градостроительной деятельности</t>
  </si>
  <si>
    <t>11 0 1050</t>
  </si>
  <si>
    <t>Распределение бюджетных ассигнований по разделам, подразделам, целевым статьям (государственным (муниципальным) программам и непрограммным направлениям деятельности), группам видов расходов классификации расходов бюджетов на 2015 год</t>
  </si>
  <si>
    <t>04 2 7000</t>
  </si>
  <si>
    <t>04 2 8770</t>
  </si>
  <si>
    <t>Капитальные вложения в объекты муниципальной собственности подпрограммы «Развитие водохозяйственного комплекса и охрана окружающей среды в Амурской области» государственной программы «Охрана окружающей среды в Амурской области на 2014-2020 годы» в рамках подпрограммы «Охрана окружающей среды и обеспечение экологической безопасности населения города Благовещенска» муниципальной программы «Обеспечение безопасности жизнедеятельности населения и территории города Благовещенска на 2015-2020 годы»</t>
  </si>
  <si>
    <t>08 4 8711</t>
  </si>
  <si>
    <t>02 1 8748</t>
  </si>
  <si>
    <t>09 2 8747</t>
  </si>
  <si>
    <t>Капитальные вложения в объекты муниципальной собственности подпрограммы "Обеспечение инженерной инфраструктурой земельных участков под строительство жилья на территории области" государственной программы «Обеспечение доступным и качественным жильем населения Амурской области на 2014 – 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</si>
  <si>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03 1 8711</t>
  </si>
  <si>
    <t>Здравоохранение</t>
  </si>
  <si>
    <t>Другие вопросы в области здравоохранения</t>
  </si>
  <si>
    <t>Субсидии на софинансирование расходных обязательств по выполнению полномочий органов местного самоуправления по вопросам местного значения</t>
  </si>
  <si>
    <t>Прочие мероприятия, осуществляемые за счет межбюджетных трансфертов прошлых лет из областного бюджета</t>
  </si>
  <si>
    <t>0900</t>
  </si>
  <si>
    <t>0909</t>
  </si>
  <si>
    <t>00 2 0000</t>
  </si>
  <si>
    <t>00 2 8898</t>
  </si>
  <si>
    <t>Капитальный ремонт жилых помещений инвалидов и ветеранов Великой Отечественной войны 1941 – 1945 гг. в рамках подпрограммы «Улучшение жилищных условий отдельных категорий граждан, проживающих на территории области» государственной программы «Обеспечение доступным и качественным жильем населения Амурской области на 2014 – 2020 годы»</t>
  </si>
  <si>
    <t>00 2 7011</t>
  </si>
  <si>
    <t>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"Обеспечение доступным и качественным жильем населения Амурской области на 2014-2020 годы"</t>
  </si>
  <si>
    <t>00 2 9502</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</si>
  <si>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"Обеспечение доступным и качественным жильем населения Амурской области на 2014-2020 годы"</t>
  </si>
  <si>
    <t>00 1 5082</t>
  </si>
  <si>
    <t>Магистральные улицы Северного планировочного района г.Благовещенска, Амурская область (ул.Шафира, ул.Муравьева-Амурского, ул.Зелёная) (в т.ч. проектные работы)</t>
  </si>
  <si>
    <t>Строительство дорог в районе "5-ой стройки" для обеспечения транспортной инфраструктурой земельных участков, предоставленных многодетным семьям. Улица Центральная на участке от улицы Театральная до улицы Дальняя г.Благовещенска</t>
  </si>
  <si>
    <t>Строительство дорог в районе "5-ой стройки" для обеспечения транспортной инфраструктурой земельных участков, предоставленных многодетным семьям. Улица Ромашковая на участке от улицы Центральная до улицы Энтузиастов г.Благовещенск</t>
  </si>
  <si>
    <t>02 1 4032</t>
  </si>
  <si>
    <t>02 1 4041</t>
  </si>
  <si>
    <t>02 1 4042</t>
  </si>
  <si>
    <t>Многоквартирные жилые дома в 800 кв. г.Благовещенска</t>
  </si>
  <si>
    <t>01 1 4040</t>
  </si>
  <si>
    <t>Реконструкция очистных сооружений Северного жилого района, г.Благовещенск, Амурская область (в т.ч. проектные работы)</t>
  </si>
  <si>
    <t>Реконструкция канализационного коллектора от Северного жилого района до очистных сооружений канализации, г.Благовещенск, Амурская область 3-я очередь</t>
  </si>
  <si>
    <t>Строительство электрических сетей в Северном планировочном районе города Благовещенска</t>
  </si>
  <si>
    <t>Закольцовка водопроводных сетей в Северном планировочном районе (в т.ч. проектные работы)</t>
  </si>
  <si>
    <t>03 1 4033</t>
  </si>
  <si>
    <t>03 1 4034</t>
  </si>
  <si>
    <t>03 1 4035</t>
  </si>
  <si>
    <t>03 1 4036</t>
  </si>
  <si>
    <t>Строительство электрических сетей в районе "5-я стройка"</t>
  </si>
  <si>
    <t>03 1 4039</t>
  </si>
  <si>
    <t>Городское кладбище (проектные работы)</t>
  </si>
  <si>
    <t>08 4 4038</t>
  </si>
  <si>
    <t>Детский сад на 170 мест в кварталах 424, 449 г.Благовещенска</t>
  </si>
  <si>
    <t>04 1 4037</t>
  </si>
  <si>
    <t>Муниципальная адресная программа "Переселение граждан из аварийного жилищного фонда с учетом необходимости развития жилищного строительства на территории Амурской области в 2013-2017 годах"</t>
  </si>
  <si>
    <t>Обеспечение мероприятий по сносу аварийных домов</t>
  </si>
  <si>
    <t>12 0 0000</t>
  </si>
  <si>
    <t>12 0 1051</t>
  </si>
  <si>
    <t>Строительство сетей водоснабжения туристко-развлекательной зоны "Золотая миля" (в том числе проектные работы)</t>
  </si>
  <si>
    <t>Инженерная инфраструктура объектов Северного планировочного района г. Благовещенска I этап (в том числе проектные работы)</t>
  </si>
  <si>
    <r>
      <t>Осуществление дорожной деятельности в отношении автомобильных дорог местного значения и сооружений на них по мероприятиям</t>
    </r>
    <r>
      <rPr>
        <b/>
        <sz val="11"/>
        <rFont val="Times New Roman"/>
        <family val="1"/>
        <charset val="204"/>
      </rPr>
      <t xml:space="preserve"> </t>
    </r>
    <r>
      <rPr>
        <sz val="11"/>
        <rFont val="Times New Roman"/>
        <family val="1"/>
        <charset val="204"/>
      </rPr>
      <t>подпрограммы «Развитие сети автомобильных дорог общего пользования Амурской области» государственной программы «Развитие транспортной системы Амурской области на 2014 – 2020 годы» в рамках подпрограммы «Осуществление дорожной деятельности в отношении автомобильных дорог общего пользования местного значения» муниципальной программы «Развитие транспортной системы города Благовещенска на 2015-2020 годы»</t>
    </r>
  </si>
  <si>
    <r>
      <t>Поддержка и развитие субъектов малого и среднего предпринимательства, включая крестьянские (фермерские) хозяйства по мероприятиям подпрограммы «Развитие субъектов малого и среднего предпринимательства на территории Амурской области»</t>
    </r>
    <r>
      <rPr>
        <b/>
        <sz val="11"/>
        <rFont val="Times New Roman"/>
        <family val="1"/>
        <charset val="204"/>
      </rPr>
      <t xml:space="preserve"> </t>
    </r>
    <r>
      <rPr>
        <sz val="11"/>
        <rFont val="Times New Roman"/>
        <family val="1"/>
        <charset val="204"/>
      </rPr>
      <t>государственной программы «Экономическое развитие и инновационная экономика Амурской области на 2014-2020 годы» в рамках подпрограммы «Развитие малого и среднего предпринимательства» муниципальной программы «Экономическое развитие города Благовещенска на 2015-2020 годы»</t>
    </r>
  </si>
  <si>
    <t>Субсидии юридическим лицам на возмещение затрат, связанных с выполнением работ по содержанию и ремонту улично-дорожной сети города Благовещенска</t>
  </si>
  <si>
    <t>02 1 6027</t>
  </si>
  <si>
    <t>Единовременная денежная выплата при передаче ребенка на воспитание в семью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</si>
  <si>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 xml:space="preserve">Субсидии казенным предприятиям на возмещение затрат, связанных с выполнением заказа по содержанию и ремонту улично-дорожной сети </t>
  </si>
  <si>
    <t>02 1 4043</t>
  </si>
  <si>
    <t>02 1 4044</t>
  </si>
  <si>
    <t>03 1 4045</t>
  </si>
  <si>
    <t>03 1 4046</t>
  </si>
  <si>
    <t>03 1 4047</t>
  </si>
  <si>
    <t>03 1 4048</t>
  </si>
  <si>
    <t>03 1 4049</t>
  </si>
  <si>
    <t>03 1 4050</t>
  </si>
  <si>
    <t>03 1 4051</t>
  </si>
  <si>
    <t>03 1 4052</t>
  </si>
  <si>
    <t>03 1 4053</t>
  </si>
  <si>
    <t>03 1 4054</t>
  </si>
  <si>
    <t>03 1 4055</t>
  </si>
  <si>
    <t>03 1 4056</t>
  </si>
  <si>
    <t>00 0 7003</t>
  </si>
  <si>
    <t>03 1 6028</t>
  </si>
  <si>
    <t>Приобретение программного продукта ГИС "Zulu"</t>
  </si>
  <si>
    <t>Реализация мероприятий подпрограммы "Развитие внутреннего и въездного туризма в Амурской области" государственной программы "Экономическое развитие и инновационная экономика Амурской области на 2014-2020 годы" в рамках подпрограммы "Развитие туризма в городе Благовещенске" муниципальной программы "Экономическое развитие города Благовещенска на 2015-2020 годы"</t>
  </si>
  <si>
    <t>09 1 5110</t>
  </si>
  <si>
    <t>03 1 8740</t>
  </si>
  <si>
    <t>Расходы, направленные на модернизацию коммунальной инфраструктуры подпрограммы "Обеспечение доступности коммунальных услуг, повышения качества и надежности жилищно-коммунального обслуживания населения" государственной программы "Модернизация жилищно-коммунального комплекса, энергосбережение и повышение энергетической эффективности в Амурской области на 2014-2020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</si>
  <si>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01 3 5020</t>
  </si>
  <si>
    <t>02 2 5027</t>
  </si>
  <si>
    <t>Мероприятия государственной программы Российской Федерации "Доступная среда" на 2011-2015 годы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"Развитие пассажирского транспорта в городе Благовещенске" муниципальной программы "Развитие транспортной системы города Благовещенска на 2015-2020 годы"</t>
  </si>
  <si>
    <t>Мероприятия, направленные на адаптацию с учетом нужд инвалидов и других маломобильных групп населения транспортной инфраструктурой по мероприятиям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«Развитие пассажирского транспорта в городе Благовещенске» муниципальной программы «Развитие транспортной системы города Благовещенска на 2015-2020 годы»</t>
  </si>
  <si>
    <t>02 2 1026</t>
  </si>
  <si>
    <t>Иной межбюджетный трансферт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t>
  </si>
  <si>
    <t>00 2 5104</t>
  </si>
  <si>
    <t>01 3 8817</t>
  </si>
  <si>
    <t>Мероприятия подпрограммы «Обеспечение доступности коммунальных услуг, повышение качества и надежности жилищно-коммунального обслуживания населения» государственной программы «Модернизация жилищно-коммунального комплекса, энергосбережение и повышение энергетической эффективности в Амурской области на 2014-2020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благоустройства территории города Благовещенска на 2015-2020 годы"</t>
  </si>
  <si>
    <t>03 1 5022</t>
  </si>
  <si>
    <t>Магистральные улицы Северного жилого района г.Благовещенск, Амурская область (1-ая очередь ул. 50 лет Октября от ул.Кольцевой до ул.Школьной)</t>
  </si>
  <si>
    <t>Магистральные улицы Северного планировочного района г.Благовещенска, Амурская область (ул.Муравьёва-Амурского, ул.Зеленая)</t>
  </si>
  <si>
    <t>Замена котла ДКВР 20-13 на котельной 74 квартала г.Благовещенска</t>
  </si>
  <si>
    <t>Перекладка тепловой сети по ул.Б.Хмельницкого от ТК-431 до ТК-428 г. Благовещенска (между ул.Октябрьская и ул.Ломоносова)</t>
  </si>
  <si>
    <t>Капитальный ремонт ливневой канализации по ул.Пионерской между ул.Зейская и ул.Ленина</t>
  </si>
  <si>
    <t>Капитальный ремонт ливневой канализации по ул.Мухина-ул.Пролетарская</t>
  </si>
  <si>
    <t>Капитальный ремонт ливневой канализации по ул.Горького-ул.Комсомольская</t>
  </si>
  <si>
    <t>Выполнение работ по капитальному ремонту подстанции ТП -177 г.Благовещенск</t>
  </si>
  <si>
    <t>Выполнение работ по переносу теплотрассы п.Аэропорт</t>
  </si>
  <si>
    <t>Модернизация систем теплоснабжения объектов капитального строительства, расположенных в п.Моховая падь на территории "БВТККУ"</t>
  </si>
  <si>
    <t>Капитальный ремонт котельной 74 квартала</t>
  </si>
  <si>
    <t>Приобретение квартир в муниципальную собственность по решениям суда</t>
  </si>
  <si>
    <t>Текущий ремонт муниципальных жилых помещений, не заселённых гражданами (за исключением жилых помещений маневренного фонда) по решениям суда</t>
  </si>
  <si>
    <t>00 0 7004</t>
  </si>
  <si>
    <t>04 2 8750</t>
  </si>
  <si>
    <t>Предоставление социальных выплат молодым семьям на приобретение (строительство) жилья по мероприятиям подпрограммы "Обеспечение жильём молодых семей" государственной программы "Обеспечение доступным и качественным жильём населения Амурской области на 2014-2020 годы" в рамках подпрограммы "Обеспечение жильём молодых семей" муниципальной программы "Обеспечение доступным и комфортным жильём населения города Благовещенска на 2015-2020 годы"</t>
  </si>
  <si>
    <t>Строительство скважины в с. Белогорье</t>
  </si>
  <si>
    <t>00 2 8745</t>
  </si>
  <si>
    <t>07 0 8745</t>
  </si>
  <si>
    <t>04 1 1052</t>
  </si>
  <si>
    <t>Инженерная инфраструктура туристко-развлекательной зоны "Золотая миля" (проектные работы)</t>
  </si>
  <si>
    <t>09 1 4057</t>
  </si>
  <si>
    <t>09 1 8711</t>
  </si>
  <si>
    <t>09 2 8016</t>
  </si>
  <si>
    <t>09 2 8017</t>
  </si>
  <si>
    <t>12 0 4040</t>
  </si>
  <si>
    <t>08 1 1159</t>
  </si>
  <si>
    <t>12 0 1054</t>
  </si>
  <si>
    <t>01 3 8814</t>
  </si>
  <si>
    <t>Гранты в форме субсидий для субсидирования части затрат субъектов малого и среднего предпринимательства, связанных с уплатой процентов по кредитам, привлеченным в российских кредитных организациях на строительство (реконструкцию) для собственных нужд производственных зданий, строений и сооружений либо приобретение оборудования в целях создания и (или) развития, либо модернизации производства товаров (работ, услуг)</t>
  </si>
  <si>
    <t>Гранты в форме субсидий для субсидирования части затрат субъектов малого и среднего предпринимательства, связанных с уплатой первого взноса (аванса) при заключении договора (договоров) лизинга оборудования с российскими лизинговыми организациями в целях создания и (или) развития либо модернизации производства товаров (работ, услуг)</t>
  </si>
  <si>
    <t>Адаптация объектов образования с учетом нужд и потребностей инвалидов и других маломобильных групп населения</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</si>
  <si>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и (или) троллейбусным маршрутам регулярных перевозок в городском сообщении, включая садовые маршруты</t>
  </si>
  <si>
    <t>Гранты в форме субсидий для субсидирования части затрат субъектов малого и среднего предпринимательства, связанных с приобретением оборудования в целях создания и (или) развития либо модернизации производства товаров (работ, услуг)</t>
  </si>
  <si>
    <t xml:space="preserve"> Поощрение достижения наилучших значений показателей деятельности органов местного самоуправления муниципальных районов и городских округов</t>
  </si>
  <si>
    <t>Капитальный ремонт ливневой канализации по ул.Мухина в районе железнодорожного переезда</t>
  </si>
  <si>
    <t xml:space="preserve">Капитальный ремонт сетей тепло-водоснабжения по ул.Пионерская между ул.Зейская и ул. Ленина </t>
  </si>
  <si>
    <t>Частичная оплата стоимости путевок для детей работающих граждан в организации отдыха и оздоровления детей в каникулярное время путем предоставления субсидии муниципальным образованиям в рамках подпрограммы "Развитие системы защиты прав детей"  государственной программы  "Развитие образования Амурской области на 2014 – 2020 годы"</t>
  </si>
  <si>
    <t>Предоставление социальных выплат молодым семьям при рождении (усыновлении) ребенка для компенсации расходов на приобретение (строительство) жилья подпрограммы "Обеспечение жильем молодых семей" государственной программы "Обеспечение доступным и качественным жильем населения Амурской области на 2014-2020 годы" в рамках подпрограммы "Обеспечение жильем молодых семей" муниципальной программы "Обеспечение доступным и комфортным жильем населения города Благовещенска на 2015-2020 годы"</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</si>
  <si>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</si>
  <si>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02 1 6030</t>
  </si>
  <si>
    <t>Субсидии казенным предприятиям на возмещение затрат, связанных с выполнением заказа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</si>
  <si>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03 4 6029</t>
  </si>
  <si>
    <t>Гранты в форме субсидии начинающим субъектам малого  предпринимательства</t>
  </si>
  <si>
    <t>Развитие аппаратно-программного комплекса  "Безопасный город" в рамках подпрограммы "Профилактика правонарушений, профилактика терроризма и экстремизма" государственной  программы "Снижение рисков и смягчение последствий чрезвычайных ситуаций природного и техногенного характера, а также обеспечение безопасности населения области на 2014-2020 годы"</t>
  </si>
  <si>
    <t>09 2 5064</t>
  </si>
  <si>
    <t>06 0 1014</t>
  </si>
  <si>
    <t>02 1 1025</t>
  </si>
  <si>
    <t>02 1 5027</t>
  </si>
  <si>
    <t>00 0 7005</t>
  </si>
  <si>
    <t>04 1 1025</t>
  </si>
  <si>
    <t>04 1 5027</t>
  </si>
  <si>
    <t>04 3 0000</t>
  </si>
  <si>
    <t>05 3 5014</t>
  </si>
  <si>
    <t xml:space="preserve">Реализация мероприятий федеральной целевой программы "Культура России (2012 - 2018 годы)"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и сохранение культуры и искусства Амурской области на 2014 - 2020 годы" </t>
  </si>
  <si>
    <t xml:space="preserve">Мероприятия государственной программы Российской Федерации "Доступная среда" на 2011 - 2015 годы в рамках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t>
  </si>
  <si>
    <t>Субсидии юридическим лицам на возмещение затрат, связанных с выполнением работ по текущему ремонту жилых помещений ветеранам Великой Отечественной войны, вдовам ветеранов Великой Отечественной войны, пенсионерам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получивших инвалидность при исполнении обязанностей военной службы, вдовам или родителям военнослужащих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погибших при исполнении обязанностей военной службы</t>
  </si>
  <si>
    <t>Государственная поддержка малого и среднего предпринимательства, включая крестьянские (фермерские) хозяйства по мероприятиям подпрограммы «Развитие субъектов малого и среднего предпринимательства на территории Амурской области» государственной программы «Экономическое развитие и инновационная экономика Амурской области на 2014-2020 годы» в рамках подпрограммы «Развитие малого и среднего предпринимательства» муниципальной программы «Экономическое развитие города Благовещенска на 2015-2020 годы»</t>
  </si>
  <si>
    <t>Мероприятия государственной программы Российской Федерации "Доступная среда" на 2011-2015 годы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"Осуществление дорожной деятельности в отношении автомобильных дорог общего пользования местного значения" муниципальной программы "Развитие транспортной системы города Благовещенска на 2015-2020 годы"</t>
  </si>
  <si>
    <t>Проведение городских спортивно-массовых мероприятий - День здоровья: "Кросс", "Азимут", "Оранжевый мяч", "Лыжня"</t>
  </si>
  <si>
    <t>Обеспечение мероприятий по землеустройству и землепользованию</t>
  </si>
  <si>
    <t>Приложение № 5</t>
  </si>
  <si>
    <t>Выполнение работ по разработке схемы теплоснабжения города Благовещенска</t>
  </si>
  <si>
    <t>03 1 1057</t>
  </si>
  <si>
    <t>от 17.12.2015 № 17/197</t>
  </si>
</sst>
</file>

<file path=xl/styles.xml><?xml version="1.0" encoding="utf-8"?>
<styleSheet xmlns="http://schemas.openxmlformats.org/spreadsheetml/2006/main">
  <numFmts count="1">
    <numFmt numFmtId="164" formatCode="#,##0.0"/>
  </numFmts>
  <fonts count="14">
    <font>
      <sz val="11"/>
      <color theme="1"/>
      <name val="Calibri"/>
      <family val="2"/>
      <charset val="204"/>
      <scheme val="minor"/>
    </font>
    <font>
      <sz val="10"/>
      <name val="Times New Roman"/>
      <family val="1"/>
      <charset val="204"/>
    </font>
    <font>
      <sz val="9"/>
      <name val="Times New Roman"/>
      <family val="1"/>
      <charset val="204"/>
    </font>
    <font>
      <b/>
      <sz val="11"/>
      <name val="Times New Roman"/>
      <family val="1"/>
      <charset val="204"/>
    </font>
    <font>
      <sz val="11"/>
      <color theme="1"/>
      <name val="Calibri"/>
      <family val="2"/>
      <charset val="204"/>
      <scheme val="minor"/>
    </font>
    <font>
      <sz val="10"/>
      <name val="Arial Cyr"/>
      <charset val="204"/>
    </font>
    <font>
      <sz val="11"/>
      <name val="Times New Roman"/>
      <family val="1"/>
      <charset val="204"/>
    </font>
    <font>
      <sz val="14"/>
      <name val="Times New Roman Cyr"/>
      <charset val="204"/>
    </font>
    <font>
      <b/>
      <sz val="11"/>
      <name val="Calibri"/>
      <family val="2"/>
      <charset val="204"/>
      <scheme val="minor"/>
    </font>
    <font>
      <sz val="11"/>
      <name val="Calibri"/>
      <family val="2"/>
      <charset val="204"/>
      <scheme val="minor"/>
    </font>
    <font>
      <sz val="10.5"/>
      <name val="Times New Roman"/>
      <family val="1"/>
      <charset val="204"/>
    </font>
    <font>
      <b/>
      <sz val="10"/>
      <name val="Times New Roman"/>
      <family val="1"/>
      <charset val="204"/>
    </font>
    <font>
      <sz val="12"/>
      <name val="Times New Roman"/>
      <family val="1"/>
      <charset val="204"/>
    </font>
    <font>
      <sz val="11"/>
      <color rgb="FFFF0000"/>
      <name val="Times New Roman"/>
      <family val="1"/>
      <charset val="204"/>
    </font>
  </fonts>
  <fills count="2">
    <fill>
      <patternFill patternType="none"/>
    </fill>
    <fill>
      <patternFill patternType="gray125"/>
    </fill>
  </fills>
  <borders count="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5" fillId="0" borderId="0"/>
    <xf numFmtId="0" fontId="4" fillId="0" borderId="0"/>
    <xf numFmtId="0" fontId="7" fillId="0" borderId="0"/>
    <xf numFmtId="0" fontId="5" fillId="0" borderId="0"/>
  </cellStyleXfs>
  <cellXfs count="77">
    <xf numFmtId="0" fontId="0" fillId="0" borderId="0" xfId="0"/>
    <xf numFmtId="0" fontId="1" fillId="0" borderId="0" xfId="0" applyFont="1" applyFill="1" applyAlignment="1">
      <alignment horizontal="center"/>
    </xf>
    <xf numFmtId="49" fontId="1" fillId="0" borderId="2" xfId="0" applyNumberFormat="1" applyFont="1" applyFill="1" applyBorder="1" applyAlignment="1">
      <alignment horizontal="center" wrapText="1"/>
    </xf>
    <xf numFmtId="49" fontId="1" fillId="0" borderId="3" xfId="0" applyNumberFormat="1" applyFont="1" applyFill="1" applyBorder="1" applyAlignment="1">
      <alignment horizontal="center" wrapText="1"/>
    </xf>
    <xf numFmtId="1" fontId="3" fillId="0" borderId="0" xfId="1" applyNumberFormat="1" applyFont="1" applyFill="1" applyBorder="1" applyAlignment="1">
      <alignment horizontal="left" wrapText="1"/>
    </xf>
    <xf numFmtId="49" fontId="3" fillId="0" borderId="0" xfId="1" applyNumberFormat="1" applyFont="1" applyFill="1" applyAlignment="1">
      <alignment horizontal="center"/>
    </xf>
    <xf numFmtId="49" fontId="3" fillId="0" borderId="0" xfId="1" applyNumberFormat="1" applyFont="1" applyFill="1" applyBorder="1" applyAlignment="1">
      <alignment horizontal="center"/>
    </xf>
    <xf numFmtId="0" fontId="3" fillId="0" borderId="0" xfId="1" applyFont="1" applyFill="1" applyAlignment="1">
      <alignment horizontal="center"/>
    </xf>
    <xf numFmtId="49" fontId="6" fillId="0" borderId="0" xfId="1" applyNumberFormat="1" applyFont="1" applyFill="1" applyAlignment="1">
      <alignment horizontal="center"/>
    </xf>
    <xf numFmtId="49" fontId="6" fillId="0" borderId="0" xfId="1" applyNumberFormat="1" applyFont="1" applyFill="1" applyBorder="1" applyAlignment="1">
      <alignment horizontal="center"/>
    </xf>
    <xf numFmtId="0" fontId="6" fillId="0" borderId="0" xfId="1" applyFont="1" applyFill="1" applyAlignment="1">
      <alignment horizontal="center"/>
    </xf>
    <xf numFmtId="49" fontId="6" fillId="0" borderId="0" xfId="3" applyNumberFormat="1" applyFont="1" applyFill="1" applyBorder="1" applyAlignment="1">
      <alignment horizontal="center"/>
    </xf>
    <xf numFmtId="49" fontId="6" fillId="0" borderId="0" xfId="0" applyNumberFormat="1" applyFont="1" applyFill="1" applyBorder="1" applyAlignment="1">
      <alignment horizontal="center"/>
    </xf>
    <xf numFmtId="49" fontId="6" fillId="0" borderId="0" xfId="0" applyNumberFormat="1" applyFont="1" applyFill="1" applyAlignment="1">
      <alignment horizontal="center"/>
    </xf>
    <xf numFmtId="49" fontId="3" fillId="0" borderId="0" xfId="0" applyNumberFormat="1" applyFont="1" applyFill="1" applyBorder="1" applyAlignment="1">
      <alignment horizontal="center"/>
    </xf>
    <xf numFmtId="0" fontId="8" fillId="0" borderId="0" xfId="0" applyFont="1" applyFill="1"/>
    <xf numFmtId="49" fontId="6" fillId="0" borderId="0" xfId="1" applyNumberFormat="1" applyFont="1" applyFill="1" applyBorder="1" applyAlignment="1">
      <alignment horizontal="center" wrapText="1"/>
    </xf>
    <xf numFmtId="49" fontId="3" fillId="0" borderId="0" xfId="1" applyNumberFormat="1" applyFont="1" applyFill="1" applyBorder="1" applyAlignment="1">
      <alignment horizontal="center" wrapText="1"/>
    </xf>
    <xf numFmtId="164" fontId="6" fillId="0" borderId="0" xfId="2" applyNumberFormat="1" applyFont="1" applyFill="1" applyAlignment="1">
      <alignment horizontal="right"/>
    </xf>
    <xf numFmtId="0" fontId="1" fillId="0" borderId="0" xfId="0" applyFont="1" applyFill="1"/>
    <xf numFmtId="164" fontId="6" fillId="0" borderId="0" xfId="1" applyNumberFormat="1" applyFont="1" applyFill="1" applyAlignment="1">
      <alignment horizontal="right"/>
    </xf>
    <xf numFmtId="0" fontId="9" fillId="0" borderId="0" xfId="0" applyFont="1" applyFill="1"/>
    <xf numFmtId="164" fontId="6" fillId="0" borderId="0" xfId="0" applyNumberFormat="1" applyFont="1" applyFill="1" applyAlignment="1">
      <alignment horizontal="right"/>
    </xf>
    <xf numFmtId="0" fontId="9" fillId="0" borderId="0" xfId="0" applyFont="1" applyFill="1" applyAlignment="1">
      <alignment horizontal="center"/>
    </xf>
    <xf numFmtId="164" fontId="1" fillId="0" borderId="4" xfId="0" applyNumberFormat="1" applyFont="1" applyFill="1" applyBorder="1" applyAlignment="1">
      <alignment horizontal="right" wrapText="1"/>
    </xf>
    <xf numFmtId="164" fontId="3" fillId="0" borderId="0" xfId="2" applyNumberFormat="1" applyFont="1" applyFill="1" applyAlignment="1">
      <alignment horizontal="right"/>
    </xf>
    <xf numFmtId="164" fontId="3" fillId="0" borderId="0" xfId="0" applyNumberFormat="1" applyFont="1" applyFill="1" applyAlignment="1">
      <alignment horizontal="right"/>
    </xf>
    <xf numFmtId="164" fontId="3" fillId="0" borderId="0" xfId="0" applyNumberFormat="1" applyFont="1" applyFill="1" applyBorder="1" applyAlignment="1">
      <alignment horizontal="right"/>
    </xf>
    <xf numFmtId="0" fontId="1" fillId="0" borderId="0" xfId="0" applyFont="1" applyFill="1" applyAlignment="1">
      <alignment vertical="center" wrapText="1"/>
    </xf>
    <xf numFmtId="0" fontId="1" fillId="0" borderId="1" xfId="0" applyFont="1" applyFill="1" applyBorder="1" applyAlignment="1">
      <alignment horizontal="center" vertical="center" wrapText="1"/>
    </xf>
    <xf numFmtId="1" fontId="3" fillId="0" borderId="0" xfId="1" applyNumberFormat="1" applyFont="1" applyFill="1" applyBorder="1" applyAlignment="1">
      <alignment horizontal="left" vertical="center" wrapText="1"/>
    </xf>
    <xf numFmtId="1" fontId="6" fillId="0" borderId="0" xfId="1" applyNumberFormat="1" applyFont="1" applyFill="1" applyBorder="1" applyAlignment="1">
      <alignment horizontal="left" vertical="center" wrapText="1"/>
    </xf>
    <xf numFmtId="0" fontId="6" fillId="0" borderId="0" xfId="1" applyFont="1" applyFill="1" applyAlignment="1">
      <alignment vertical="center" wrapText="1"/>
    </xf>
    <xf numFmtId="0" fontId="6" fillId="0" borderId="0" xfId="1" applyFont="1" applyFill="1" applyAlignment="1">
      <alignment horizontal="left" vertical="center" wrapText="1"/>
    </xf>
    <xf numFmtId="0" fontId="6" fillId="0" borderId="0" xfId="1" applyFont="1" applyFill="1" applyBorder="1" applyAlignment="1">
      <alignment vertical="center" wrapText="1"/>
    </xf>
    <xf numFmtId="1" fontId="6" fillId="0" borderId="0" xfId="0" applyNumberFormat="1" applyFont="1" applyFill="1" applyBorder="1" applyAlignment="1">
      <alignment horizontal="left" vertical="center" wrapText="1"/>
    </xf>
    <xf numFmtId="0" fontId="6" fillId="0" borderId="0" xfId="0" applyFont="1" applyFill="1" applyAlignment="1">
      <alignment horizontal="left" vertical="center" wrapText="1"/>
    </xf>
    <xf numFmtId="0" fontId="6" fillId="0" borderId="0" xfId="1" applyFont="1" applyFill="1" applyBorder="1" applyAlignment="1">
      <alignment horizontal="left" vertical="center" wrapText="1"/>
    </xf>
    <xf numFmtId="1" fontId="3" fillId="0" borderId="0" xfId="0" applyNumberFormat="1" applyFont="1" applyFill="1" applyBorder="1" applyAlignment="1">
      <alignment horizontal="left" vertical="center" wrapText="1"/>
    </xf>
    <xf numFmtId="0" fontId="3" fillId="0" borderId="0" xfId="1" applyFont="1" applyFill="1" applyAlignment="1">
      <alignment vertical="center" wrapText="1"/>
    </xf>
    <xf numFmtId="0" fontId="6" fillId="0" borderId="0" xfId="0" applyFont="1" applyFill="1" applyAlignment="1">
      <alignment horizontal="justify" vertical="center"/>
    </xf>
    <xf numFmtId="0" fontId="6" fillId="0" borderId="0" xfId="0" applyFont="1" applyFill="1" applyBorder="1" applyAlignment="1">
      <alignment vertical="center" wrapText="1"/>
    </xf>
    <xf numFmtId="0" fontId="6" fillId="0" borderId="0" xfId="0" applyNumberFormat="1" applyFont="1" applyFill="1" applyAlignment="1">
      <alignment horizontal="left" vertical="center" wrapText="1"/>
    </xf>
    <xf numFmtId="0" fontId="6" fillId="0" borderId="0" xfId="0" applyFont="1" applyFill="1" applyBorder="1" applyAlignment="1">
      <alignment horizontal="left" vertical="center" wrapText="1"/>
    </xf>
    <xf numFmtId="1" fontId="6" fillId="0" borderId="0" xfId="0" applyNumberFormat="1" applyFont="1" applyFill="1" applyBorder="1" applyAlignment="1">
      <alignment vertical="center" wrapText="1"/>
    </xf>
    <xf numFmtId="0" fontId="3" fillId="0" borderId="0" xfId="1" applyFont="1" applyFill="1" applyAlignment="1">
      <alignment horizontal="left" vertical="center" wrapText="1"/>
    </xf>
    <xf numFmtId="0" fontId="6" fillId="0" borderId="0" xfId="4" applyFont="1" applyFill="1" applyAlignment="1">
      <alignment vertical="center" wrapText="1"/>
    </xf>
    <xf numFmtId="0" fontId="6" fillId="0" borderId="0" xfId="0" applyFont="1" applyFill="1" applyAlignment="1">
      <alignment vertical="center" wrapText="1"/>
    </xf>
    <xf numFmtId="0" fontId="3" fillId="0" borderId="0" xfId="0" applyFont="1" applyFill="1" applyBorder="1" applyAlignment="1">
      <alignment vertical="center" wrapText="1"/>
    </xf>
    <xf numFmtId="0" fontId="9" fillId="0" borderId="0" xfId="0" applyFont="1" applyFill="1" applyAlignment="1">
      <alignment vertical="center"/>
    </xf>
    <xf numFmtId="0" fontId="3" fillId="0" borderId="0" xfId="1" applyFont="1" applyFill="1" applyBorder="1" applyAlignment="1">
      <alignment horizontal="left" vertical="center" wrapText="1"/>
    </xf>
    <xf numFmtId="1" fontId="3" fillId="0" borderId="0" xfId="1" applyNumberFormat="1" applyFont="1" applyFill="1" applyBorder="1" applyAlignment="1">
      <alignment horizontal="center" wrapText="1"/>
    </xf>
    <xf numFmtId="0" fontId="6" fillId="0" borderId="0" xfId="0" applyFont="1" applyFill="1" applyAlignment="1">
      <alignment horizontal="center"/>
    </xf>
    <xf numFmtId="0" fontId="3" fillId="0" borderId="0" xfId="0" applyFont="1" applyFill="1" applyAlignment="1">
      <alignment horizontal="center"/>
    </xf>
    <xf numFmtId="1" fontId="6" fillId="0" borderId="0" xfId="1" applyNumberFormat="1" applyFont="1" applyFill="1" applyBorder="1" applyAlignment="1">
      <alignment horizontal="left" wrapText="1"/>
    </xf>
    <xf numFmtId="0" fontId="6" fillId="0" borderId="0" xfId="0" applyFont="1" applyFill="1" applyAlignment="1">
      <alignment horizontal="left" wrapText="1"/>
    </xf>
    <xf numFmtId="164" fontId="6" fillId="0" borderId="0" xfId="0" applyNumberFormat="1" applyFont="1" applyFill="1" applyBorder="1" applyAlignment="1">
      <alignment horizontal="right"/>
    </xf>
    <xf numFmtId="0" fontId="10" fillId="0" borderId="0" xfId="2" applyFont="1" applyFill="1" applyAlignment="1">
      <alignment wrapText="1"/>
    </xf>
    <xf numFmtId="1" fontId="10" fillId="0" borderId="0" xfId="1" applyNumberFormat="1" applyFont="1" applyFill="1" applyBorder="1" applyAlignment="1">
      <alignment horizontal="left" wrapText="1"/>
    </xf>
    <xf numFmtId="1" fontId="6" fillId="0" borderId="0" xfId="0" applyNumberFormat="1" applyFont="1" applyFill="1" applyBorder="1" applyAlignment="1">
      <alignment horizontal="left" wrapText="1"/>
    </xf>
    <xf numFmtId="0" fontId="6" fillId="0" borderId="0" xfId="4" applyFont="1" applyFill="1" applyAlignment="1">
      <alignment wrapText="1"/>
    </xf>
    <xf numFmtId="0" fontId="10" fillId="0" borderId="0" xfId="1" applyFont="1" applyFill="1" applyAlignment="1">
      <alignment horizontal="left" wrapText="1"/>
    </xf>
    <xf numFmtId="0" fontId="6" fillId="0" borderId="0" xfId="0" applyFont="1" applyFill="1" applyAlignment="1">
      <alignment wrapText="1"/>
    </xf>
    <xf numFmtId="164" fontId="6" fillId="0" borderId="0" xfId="0" applyNumberFormat="1" applyFont="1" applyFill="1"/>
    <xf numFmtId="164" fontId="1" fillId="0" borderId="0" xfId="0" applyNumberFormat="1" applyFont="1" applyFill="1" applyAlignment="1">
      <alignment horizontal="right"/>
    </xf>
    <xf numFmtId="164" fontId="11" fillId="0" borderId="0" xfId="2" applyNumberFormat="1" applyFont="1" applyFill="1" applyAlignment="1">
      <alignment horizontal="right"/>
    </xf>
    <xf numFmtId="164" fontId="9" fillId="0" borderId="0" xfId="0" applyNumberFormat="1" applyFont="1" applyFill="1" applyAlignment="1">
      <alignment horizontal="right"/>
    </xf>
    <xf numFmtId="1" fontId="10" fillId="0" borderId="0" xfId="1" applyNumberFormat="1" applyFont="1" applyFill="1" applyBorder="1" applyAlignment="1">
      <alignment horizontal="left" vertical="center" wrapText="1"/>
    </xf>
    <xf numFmtId="0" fontId="6" fillId="0" borderId="0" xfId="0" applyFont="1" applyFill="1" applyBorder="1" applyAlignment="1">
      <alignment horizontal="justify" vertical="top" wrapText="1"/>
    </xf>
    <xf numFmtId="0" fontId="12" fillId="0" borderId="0" xfId="0" applyFont="1" applyFill="1" applyBorder="1" applyAlignment="1">
      <alignment horizontal="justify" vertical="top" wrapText="1"/>
    </xf>
    <xf numFmtId="0" fontId="6" fillId="0" borderId="0" xfId="0" applyFont="1" applyFill="1" applyBorder="1" applyAlignment="1">
      <alignment vertical="top" wrapText="1"/>
    </xf>
    <xf numFmtId="1" fontId="3" fillId="0" borderId="0" xfId="0" applyNumberFormat="1" applyFont="1" applyFill="1" applyBorder="1" applyAlignment="1">
      <alignment horizontal="center" wrapText="1"/>
    </xf>
    <xf numFmtId="2" fontId="6" fillId="0" borderId="0" xfId="0" applyNumberFormat="1" applyFont="1" applyFill="1" applyAlignment="1">
      <alignment vertical="center" wrapText="1"/>
    </xf>
    <xf numFmtId="164" fontId="13" fillId="0" borderId="0" xfId="0" applyNumberFormat="1" applyFont="1" applyFill="1" applyAlignment="1">
      <alignment horizontal="right"/>
    </xf>
    <xf numFmtId="0" fontId="3" fillId="0" borderId="0" xfId="0" applyFont="1" applyFill="1" applyAlignment="1">
      <alignment horizontal="center" vertical="center" wrapText="1"/>
    </xf>
    <xf numFmtId="0" fontId="1" fillId="0" borderId="0" xfId="0" applyFont="1" applyFill="1" applyAlignment="1">
      <alignment horizontal="left" wrapText="1"/>
    </xf>
    <xf numFmtId="0" fontId="2" fillId="0" borderId="0" xfId="0" applyFont="1" applyFill="1" applyAlignment="1">
      <alignment horizontal="left" wrapText="1"/>
    </xf>
  </cellXfs>
  <cellStyles count="5">
    <cellStyle name="Обычный" xfId="0" builtinId="0"/>
    <cellStyle name="Обычный 2" xfId="4"/>
    <cellStyle name="Обычный 3" xfId="1"/>
    <cellStyle name="Обычный 4" xfId="2"/>
    <cellStyle name="Обычный_ноябрь 200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614"/>
  <sheetViews>
    <sheetView tabSelected="1" zoomScale="75" zoomScaleNormal="75" workbookViewId="0">
      <selection activeCell="O22" sqref="O22"/>
    </sheetView>
  </sheetViews>
  <sheetFormatPr defaultColWidth="9.140625" defaultRowHeight="15"/>
  <cols>
    <col min="1" max="1" width="63.28515625" style="49" customWidth="1"/>
    <col min="2" max="2" width="9.140625" style="23"/>
    <col min="3" max="3" width="10.140625" style="23" customWidth="1"/>
    <col min="4" max="4" width="6.85546875" style="23" customWidth="1"/>
    <col min="5" max="5" width="16.28515625" style="66" customWidth="1"/>
    <col min="6" max="16384" width="9.140625" style="21"/>
  </cols>
  <sheetData>
    <row r="1" spans="1:5" s="19" customFormat="1" ht="12.75">
      <c r="A1" s="28"/>
      <c r="B1" s="1"/>
      <c r="C1" s="1"/>
      <c r="D1" s="75" t="s">
        <v>559</v>
      </c>
      <c r="E1" s="75"/>
    </row>
    <row r="2" spans="1:5" s="19" customFormat="1" ht="12.75">
      <c r="A2" s="28"/>
      <c r="B2" s="1"/>
      <c r="C2" s="1"/>
      <c r="D2" s="75" t="s">
        <v>404</v>
      </c>
      <c r="E2" s="75"/>
    </row>
    <row r="3" spans="1:5" s="19" customFormat="1" ht="12.75">
      <c r="A3" s="28"/>
      <c r="B3" s="1"/>
      <c r="C3" s="1"/>
      <c r="D3" s="75" t="s">
        <v>0</v>
      </c>
      <c r="E3" s="75"/>
    </row>
    <row r="4" spans="1:5" s="19" customFormat="1" ht="12.75">
      <c r="A4" s="28"/>
      <c r="B4" s="1"/>
      <c r="C4" s="1"/>
      <c r="D4" s="75" t="s">
        <v>1</v>
      </c>
      <c r="E4" s="75"/>
    </row>
    <row r="5" spans="1:5" s="19" customFormat="1" ht="12.75">
      <c r="A5" s="28"/>
      <c r="B5" s="1"/>
      <c r="C5" s="1"/>
      <c r="D5" s="76" t="s">
        <v>562</v>
      </c>
      <c r="E5" s="76"/>
    </row>
    <row r="6" spans="1:5" s="19" customFormat="1" ht="49.5" customHeight="1">
      <c r="A6" s="74" t="s">
        <v>410</v>
      </c>
      <c r="B6" s="74"/>
      <c r="C6" s="74"/>
      <c r="D6" s="74"/>
      <c r="E6" s="74"/>
    </row>
    <row r="7" spans="1:5" s="19" customFormat="1" ht="12.75">
      <c r="A7" s="28"/>
      <c r="B7" s="1"/>
      <c r="C7" s="1"/>
      <c r="D7" s="1"/>
      <c r="E7" s="64" t="s">
        <v>2</v>
      </c>
    </row>
    <row r="8" spans="1:5" s="19" customFormat="1" ht="18.75" customHeight="1">
      <c r="A8" s="29" t="s">
        <v>3</v>
      </c>
      <c r="B8" s="2" t="s">
        <v>4</v>
      </c>
      <c r="C8" s="3" t="s">
        <v>5</v>
      </c>
      <c r="D8" s="2" t="s">
        <v>6</v>
      </c>
      <c r="E8" s="24" t="s">
        <v>7</v>
      </c>
    </row>
    <row r="9" spans="1:5">
      <c r="A9" s="30" t="s">
        <v>8</v>
      </c>
      <c r="B9" s="5" t="s">
        <v>9</v>
      </c>
      <c r="C9" s="6"/>
      <c r="D9" s="7"/>
      <c r="E9" s="25">
        <f>E10+E14+E28+E50+E56+E60</f>
        <v>578612.19999999995</v>
      </c>
    </row>
    <row r="10" spans="1:5" ht="33" customHeight="1">
      <c r="A10" s="30" t="s">
        <v>405</v>
      </c>
      <c r="B10" s="5" t="s">
        <v>11</v>
      </c>
      <c r="C10" s="6"/>
      <c r="D10" s="7"/>
      <c r="E10" s="26">
        <f>E11</f>
        <v>1600.6</v>
      </c>
    </row>
    <row r="11" spans="1:5">
      <c r="A11" s="31" t="s">
        <v>16</v>
      </c>
      <c r="B11" s="8" t="s">
        <v>11</v>
      </c>
      <c r="C11" s="9" t="s">
        <v>17</v>
      </c>
      <c r="D11" s="7"/>
      <c r="E11" s="22">
        <f>E12</f>
        <v>1600.6</v>
      </c>
    </row>
    <row r="12" spans="1:5">
      <c r="A12" s="54" t="s">
        <v>10</v>
      </c>
      <c r="B12" s="8" t="s">
        <v>11</v>
      </c>
      <c r="C12" s="9" t="s">
        <v>12</v>
      </c>
      <c r="D12" s="7"/>
      <c r="E12" s="22">
        <f>E13</f>
        <v>1600.6</v>
      </c>
    </row>
    <row r="13" spans="1:5" ht="60">
      <c r="A13" s="31" t="s">
        <v>13</v>
      </c>
      <c r="B13" s="8" t="s">
        <v>11</v>
      </c>
      <c r="C13" s="9" t="s">
        <v>12</v>
      </c>
      <c r="D13" s="10">
        <v>100</v>
      </c>
      <c r="E13" s="22">
        <f>2113.6-443-70</f>
        <v>1600.6</v>
      </c>
    </row>
    <row r="14" spans="1:5" ht="42.75">
      <c r="A14" s="30" t="s">
        <v>14</v>
      </c>
      <c r="B14" s="5" t="s">
        <v>15</v>
      </c>
      <c r="C14" s="6"/>
      <c r="D14" s="7"/>
      <c r="E14" s="25">
        <f>SUM(E15)</f>
        <v>30967.300000000003</v>
      </c>
    </row>
    <row r="15" spans="1:5">
      <c r="A15" s="31" t="s">
        <v>16</v>
      </c>
      <c r="B15" s="8" t="s">
        <v>15</v>
      </c>
      <c r="C15" s="9" t="s">
        <v>17</v>
      </c>
      <c r="D15" s="10"/>
      <c r="E15" s="22">
        <f>SUM(E16+E18+E20+E22+E26)</f>
        <v>30967.300000000003</v>
      </c>
    </row>
    <row r="16" spans="1:5" ht="30">
      <c r="A16" s="31" t="s">
        <v>18</v>
      </c>
      <c r="B16" s="8" t="s">
        <v>15</v>
      </c>
      <c r="C16" s="9" t="s">
        <v>19</v>
      </c>
      <c r="D16" s="10"/>
      <c r="E16" s="22">
        <v>2113.6</v>
      </c>
    </row>
    <row r="17" spans="1:5" ht="60">
      <c r="A17" s="31" t="s">
        <v>13</v>
      </c>
      <c r="B17" s="8" t="s">
        <v>15</v>
      </c>
      <c r="C17" s="9" t="s">
        <v>19</v>
      </c>
      <c r="D17" s="10">
        <v>100</v>
      </c>
      <c r="E17" s="22">
        <v>2113.6</v>
      </c>
    </row>
    <row r="18" spans="1:5" ht="30">
      <c r="A18" s="31" t="s">
        <v>20</v>
      </c>
      <c r="B18" s="8" t="s">
        <v>15</v>
      </c>
      <c r="C18" s="9" t="s">
        <v>21</v>
      </c>
      <c r="D18" s="10"/>
      <c r="E18" s="22">
        <f>E19</f>
        <v>1630.2</v>
      </c>
    </row>
    <row r="19" spans="1:5" ht="60">
      <c r="A19" s="31" t="s">
        <v>13</v>
      </c>
      <c r="B19" s="8" t="s">
        <v>15</v>
      </c>
      <c r="C19" s="9" t="s">
        <v>21</v>
      </c>
      <c r="D19" s="10">
        <v>100</v>
      </c>
      <c r="E19" s="22">
        <f>1935.2-305</f>
        <v>1630.2</v>
      </c>
    </row>
    <row r="20" spans="1:5">
      <c r="A20" s="31" t="s">
        <v>22</v>
      </c>
      <c r="B20" s="8" t="s">
        <v>15</v>
      </c>
      <c r="C20" s="9" t="s">
        <v>23</v>
      </c>
      <c r="D20" s="10"/>
      <c r="E20" s="22">
        <f>E21</f>
        <v>1531.7</v>
      </c>
    </row>
    <row r="21" spans="1:5" ht="60">
      <c r="A21" s="31" t="s">
        <v>13</v>
      </c>
      <c r="B21" s="8" t="s">
        <v>15</v>
      </c>
      <c r="C21" s="9" t="s">
        <v>23</v>
      </c>
      <c r="D21" s="10">
        <v>100</v>
      </c>
      <c r="E21" s="22">
        <f>1799.2-267.5</f>
        <v>1531.7</v>
      </c>
    </row>
    <row r="22" spans="1:5">
      <c r="A22" s="32" t="s">
        <v>24</v>
      </c>
      <c r="B22" s="8" t="s">
        <v>15</v>
      </c>
      <c r="C22" s="9" t="s">
        <v>25</v>
      </c>
      <c r="D22" s="10"/>
      <c r="E22" s="22">
        <f>SUM(E23:E25)</f>
        <v>16049.2</v>
      </c>
    </row>
    <row r="23" spans="1:5" ht="60">
      <c r="A23" s="31" t="s">
        <v>13</v>
      </c>
      <c r="B23" s="8" t="s">
        <v>15</v>
      </c>
      <c r="C23" s="9" t="s">
        <v>25</v>
      </c>
      <c r="D23" s="10">
        <v>100</v>
      </c>
      <c r="E23" s="22">
        <f>14632.2-1565.4+572.5-0.5</f>
        <v>13638.800000000001</v>
      </c>
    </row>
    <row r="24" spans="1:5" ht="30">
      <c r="A24" s="31" t="s">
        <v>26</v>
      </c>
      <c r="B24" s="8" t="s">
        <v>15</v>
      </c>
      <c r="C24" s="9" t="s">
        <v>25</v>
      </c>
      <c r="D24" s="10">
        <v>200</v>
      </c>
      <c r="E24" s="22">
        <f>4209-1802.6</f>
        <v>2406.4</v>
      </c>
    </row>
    <row r="25" spans="1:5">
      <c r="A25" s="33" t="s">
        <v>27</v>
      </c>
      <c r="B25" s="8" t="s">
        <v>15</v>
      </c>
      <c r="C25" s="9" t="s">
        <v>25</v>
      </c>
      <c r="D25" s="10">
        <v>800</v>
      </c>
      <c r="E25" s="22">
        <v>4</v>
      </c>
    </row>
    <row r="26" spans="1:5">
      <c r="A26" s="31" t="s">
        <v>28</v>
      </c>
      <c r="B26" s="8" t="s">
        <v>15</v>
      </c>
      <c r="C26" s="9" t="s">
        <v>29</v>
      </c>
      <c r="D26" s="10"/>
      <c r="E26" s="18">
        <f>E27</f>
        <v>9642.6</v>
      </c>
    </row>
    <row r="27" spans="1:5" ht="60">
      <c r="A27" s="31" t="s">
        <v>13</v>
      </c>
      <c r="B27" s="8" t="s">
        <v>15</v>
      </c>
      <c r="C27" s="9" t="s">
        <v>29</v>
      </c>
      <c r="D27" s="10">
        <v>100</v>
      </c>
      <c r="E27" s="22">
        <f>9702.5-59.9</f>
        <v>9642.6</v>
      </c>
    </row>
    <row r="28" spans="1:5" ht="57">
      <c r="A28" s="30" t="s">
        <v>30</v>
      </c>
      <c r="B28" s="5" t="s">
        <v>31</v>
      </c>
      <c r="C28" s="6"/>
      <c r="D28" s="7"/>
      <c r="E28" s="25">
        <f>SUM(E29)+E36+E46</f>
        <v>175331.69999999998</v>
      </c>
    </row>
    <row r="29" spans="1:5">
      <c r="A29" s="31" t="s">
        <v>16</v>
      </c>
      <c r="B29" s="8" t="s">
        <v>31</v>
      </c>
      <c r="C29" s="9" t="s">
        <v>17</v>
      </c>
      <c r="D29" s="10"/>
      <c r="E29" s="18">
        <f>SUM(E30)+E34</f>
        <v>169658.59999999998</v>
      </c>
    </row>
    <row r="30" spans="1:5" ht="45">
      <c r="A30" s="34" t="s">
        <v>32</v>
      </c>
      <c r="B30" s="8" t="s">
        <v>31</v>
      </c>
      <c r="C30" s="9" t="s">
        <v>33</v>
      </c>
      <c r="D30" s="10"/>
      <c r="E30" s="18">
        <f>SUM(E31:E33)</f>
        <v>169088.59999999998</v>
      </c>
    </row>
    <row r="31" spans="1:5" ht="60">
      <c r="A31" s="31" t="s">
        <v>13</v>
      </c>
      <c r="B31" s="8" t="s">
        <v>31</v>
      </c>
      <c r="C31" s="9" t="s">
        <v>33</v>
      </c>
      <c r="D31" s="10">
        <v>100</v>
      </c>
      <c r="E31" s="18">
        <f>152281.7+1983+550+689.8-700-1444.7</f>
        <v>153359.79999999999</v>
      </c>
    </row>
    <row r="32" spans="1:5" ht="30">
      <c r="A32" s="31" t="s">
        <v>26</v>
      </c>
      <c r="B32" s="8" t="s">
        <v>31</v>
      </c>
      <c r="C32" s="9" t="s">
        <v>33</v>
      </c>
      <c r="D32" s="10">
        <v>200</v>
      </c>
      <c r="E32" s="18">
        <f>13900.4-345.6+500-550+534-150+995+300-5</f>
        <v>15178.8</v>
      </c>
    </row>
    <row r="33" spans="1:5">
      <c r="A33" s="33" t="s">
        <v>27</v>
      </c>
      <c r="B33" s="8" t="s">
        <v>31</v>
      </c>
      <c r="C33" s="9" t="s">
        <v>33</v>
      </c>
      <c r="D33" s="10">
        <v>800</v>
      </c>
      <c r="E33" s="18">
        <v>550</v>
      </c>
    </row>
    <row r="34" spans="1:5">
      <c r="A34" s="31" t="s">
        <v>48</v>
      </c>
      <c r="B34" s="8" t="s">
        <v>31</v>
      </c>
      <c r="C34" s="9" t="s">
        <v>49</v>
      </c>
      <c r="D34" s="10"/>
      <c r="E34" s="18">
        <f>E35</f>
        <v>570</v>
      </c>
    </row>
    <row r="35" spans="1:5" ht="30">
      <c r="A35" s="31" t="s">
        <v>26</v>
      </c>
      <c r="B35" s="8" t="s">
        <v>31</v>
      </c>
      <c r="C35" s="9" t="s">
        <v>49</v>
      </c>
      <c r="D35" s="10">
        <v>200</v>
      </c>
      <c r="E35" s="18">
        <v>570</v>
      </c>
    </row>
    <row r="36" spans="1:5">
      <c r="A36" s="33" t="s">
        <v>34</v>
      </c>
      <c r="B36" s="8" t="s">
        <v>31</v>
      </c>
      <c r="C36" s="9" t="s">
        <v>35</v>
      </c>
      <c r="D36" s="10"/>
      <c r="E36" s="18">
        <f>SUM(E37+E40+E43)</f>
        <v>5330.2</v>
      </c>
    </row>
    <row r="37" spans="1:5" ht="159" customHeight="1">
      <c r="A37" s="31" t="s">
        <v>36</v>
      </c>
      <c r="B37" s="8" t="s">
        <v>31</v>
      </c>
      <c r="C37" s="9" t="s">
        <v>37</v>
      </c>
      <c r="D37" s="9"/>
      <c r="E37" s="18">
        <f>E38+E39</f>
        <v>2118.9</v>
      </c>
    </row>
    <row r="38" spans="1:5" ht="72.75" customHeight="1">
      <c r="A38" s="31" t="s">
        <v>13</v>
      </c>
      <c r="B38" s="8" t="s">
        <v>31</v>
      </c>
      <c r="C38" s="9" t="s">
        <v>37</v>
      </c>
      <c r="D38" s="9" t="s">
        <v>38</v>
      </c>
      <c r="E38" s="18">
        <v>1952</v>
      </c>
    </row>
    <row r="39" spans="1:5" ht="30">
      <c r="A39" s="31" t="s">
        <v>26</v>
      </c>
      <c r="B39" s="8" t="s">
        <v>31</v>
      </c>
      <c r="C39" s="9" t="s">
        <v>37</v>
      </c>
      <c r="D39" s="9" t="s">
        <v>39</v>
      </c>
      <c r="E39" s="18">
        <v>166.9</v>
      </c>
    </row>
    <row r="40" spans="1:5" ht="120">
      <c r="A40" s="33" t="s">
        <v>40</v>
      </c>
      <c r="B40" s="8" t="s">
        <v>31</v>
      </c>
      <c r="C40" s="9" t="s">
        <v>41</v>
      </c>
      <c r="D40" s="10"/>
      <c r="E40" s="18">
        <f>E41+E42</f>
        <v>1622.1</v>
      </c>
    </row>
    <row r="41" spans="1:5" ht="60">
      <c r="A41" s="31" t="s">
        <v>13</v>
      </c>
      <c r="B41" s="8" t="s">
        <v>31</v>
      </c>
      <c r="C41" s="9" t="s">
        <v>41</v>
      </c>
      <c r="D41" s="10">
        <v>100</v>
      </c>
      <c r="E41" s="18">
        <v>1464</v>
      </c>
    </row>
    <row r="42" spans="1:5" ht="30">
      <c r="A42" s="31" t="s">
        <v>26</v>
      </c>
      <c r="B42" s="8" t="s">
        <v>31</v>
      </c>
      <c r="C42" s="9" t="s">
        <v>41</v>
      </c>
      <c r="D42" s="10">
        <v>200</v>
      </c>
      <c r="E42" s="18">
        <v>158.1</v>
      </c>
    </row>
    <row r="43" spans="1:5" ht="75">
      <c r="A43" s="33" t="s">
        <v>42</v>
      </c>
      <c r="B43" s="8" t="s">
        <v>31</v>
      </c>
      <c r="C43" s="9" t="s">
        <v>43</v>
      </c>
      <c r="D43" s="10"/>
      <c r="E43" s="18">
        <f>E44+E45</f>
        <v>1589.2</v>
      </c>
    </row>
    <row r="44" spans="1:5" ht="60">
      <c r="A44" s="31" t="s">
        <v>13</v>
      </c>
      <c r="B44" s="8" t="s">
        <v>31</v>
      </c>
      <c r="C44" s="9" t="s">
        <v>43</v>
      </c>
      <c r="D44" s="10">
        <v>100</v>
      </c>
      <c r="E44" s="18">
        <v>1464</v>
      </c>
    </row>
    <row r="45" spans="1:5" ht="30">
      <c r="A45" s="31" t="s">
        <v>26</v>
      </c>
      <c r="B45" s="8" t="s">
        <v>31</v>
      </c>
      <c r="C45" s="9" t="s">
        <v>43</v>
      </c>
      <c r="D45" s="10">
        <v>200</v>
      </c>
      <c r="E45" s="18">
        <v>125.2</v>
      </c>
    </row>
    <row r="46" spans="1:5" ht="40.5">
      <c r="A46" s="67" t="s">
        <v>421</v>
      </c>
      <c r="B46" s="8" t="s">
        <v>31</v>
      </c>
      <c r="C46" s="9" t="s">
        <v>425</v>
      </c>
      <c r="D46" s="10"/>
      <c r="E46" s="18">
        <f>E47</f>
        <v>342.9</v>
      </c>
    </row>
    <row r="47" spans="1:5" ht="45">
      <c r="A47" s="31" t="s">
        <v>532</v>
      </c>
      <c r="B47" s="8" t="s">
        <v>31</v>
      </c>
      <c r="C47" s="9" t="s">
        <v>515</v>
      </c>
      <c r="D47" s="10"/>
      <c r="E47" s="18">
        <f>E48+E49</f>
        <v>342.9</v>
      </c>
    </row>
    <row r="48" spans="1:5" ht="60">
      <c r="A48" s="31" t="s">
        <v>13</v>
      </c>
      <c r="B48" s="8" t="s">
        <v>31</v>
      </c>
      <c r="C48" s="9" t="s">
        <v>515</v>
      </c>
      <c r="D48" s="10">
        <v>100</v>
      </c>
      <c r="E48" s="63">
        <v>65.099999999999994</v>
      </c>
    </row>
    <row r="49" spans="1:5" ht="30">
      <c r="A49" s="31" t="s">
        <v>26</v>
      </c>
      <c r="B49" s="8" t="s">
        <v>31</v>
      </c>
      <c r="C49" s="9" t="s">
        <v>515</v>
      </c>
      <c r="D49" s="10">
        <v>200</v>
      </c>
      <c r="E49" s="63">
        <v>277.8</v>
      </c>
    </row>
    <row r="50" spans="1:5" ht="42.75">
      <c r="A50" s="30" t="s">
        <v>44</v>
      </c>
      <c r="B50" s="5" t="s">
        <v>45</v>
      </c>
      <c r="C50" s="6"/>
      <c r="D50" s="7"/>
      <c r="E50" s="25">
        <f>SUM(E51)</f>
        <v>44556.800000000003</v>
      </c>
    </row>
    <row r="51" spans="1:5">
      <c r="A51" s="31" t="s">
        <v>16</v>
      </c>
      <c r="B51" s="8" t="s">
        <v>45</v>
      </c>
      <c r="C51" s="9" t="s">
        <v>17</v>
      </c>
      <c r="D51" s="10"/>
      <c r="E51" s="18">
        <f>SUM(E52)</f>
        <v>44556.800000000003</v>
      </c>
    </row>
    <row r="52" spans="1:5" ht="45">
      <c r="A52" s="34" t="s">
        <v>32</v>
      </c>
      <c r="B52" s="8" t="s">
        <v>45</v>
      </c>
      <c r="C52" s="9" t="s">
        <v>33</v>
      </c>
      <c r="D52" s="10"/>
      <c r="E52" s="18">
        <f>SUM(E53:E55)</f>
        <v>44556.800000000003</v>
      </c>
    </row>
    <row r="53" spans="1:5" ht="60">
      <c r="A53" s="31" t="s">
        <v>13</v>
      </c>
      <c r="B53" s="8" t="s">
        <v>45</v>
      </c>
      <c r="C53" s="9" t="s">
        <v>33</v>
      </c>
      <c r="D53" s="10">
        <v>100</v>
      </c>
      <c r="E53" s="18">
        <f>27006.1+12906.6+31+19.9-256</f>
        <v>39707.599999999999</v>
      </c>
    </row>
    <row r="54" spans="1:5" ht="30">
      <c r="A54" s="31" t="s">
        <v>26</v>
      </c>
      <c r="B54" s="8" t="s">
        <v>45</v>
      </c>
      <c r="C54" s="9" t="s">
        <v>33</v>
      </c>
      <c r="D54" s="10">
        <v>200</v>
      </c>
      <c r="E54" s="18">
        <f>2644.3+1807.2-31+115+200-5-19.9-105+226.6</f>
        <v>4832.2000000000007</v>
      </c>
    </row>
    <row r="55" spans="1:5">
      <c r="A55" s="33" t="s">
        <v>27</v>
      </c>
      <c r="B55" s="8" t="s">
        <v>45</v>
      </c>
      <c r="C55" s="9" t="s">
        <v>33</v>
      </c>
      <c r="D55" s="10">
        <v>800</v>
      </c>
      <c r="E55" s="18">
        <f>22+10-15</f>
        <v>17</v>
      </c>
    </row>
    <row r="56" spans="1:5">
      <c r="A56" s="30" t="s">
        <v>46</v>
      </c>
      <c r="B56" s="5" t="s">
        <v>47</v>
      </c>
      <c r="C56" s="6"/>
      <c r="D56" s="7"/>
      <c r="E56" s="25">
        <f>E57</f>
        <v>3258.5</v>
      </c>
    </row>
    <row r="57" spans="1:5">
      <c r="A57" s="31" t="s">
        <v>16</v>
      </c>
      <c r="B57" s="8" t="s">
        <v>47</v>
      </c>
      <c r="C57" s="11" t="s">
        <v>17</v>
      </c>
      <c r="D57" s="10"/>
      <c r="E57" s="18">
        <f>E58</f>
        <v>3258.5</v>
      </c>
    </row>
    <row r="58" spans="1:5">
      <c r="A58" s="31" t="s">
        <v>48</v>
      </c>
      <c r="B58" s="8" t="s">
        <v>47</v>
      </c>
      <c r="C58" s="9" t="s">
        <v>49</v>
      </c>
      <c r="D58" s="10"/>
      <c r="E58" s="18">
        <f>E59</f>
        <v>3258.5</v>
      </c>
    </row>
    <row r="59" spans="1:5">
      <c r="A59" s="33" t="s">
        <v>27</v>
      </c>
      <c r="B59" s="8" t="s">
        <v>47</v>
      </c>
      <c r="C59" s="9" t="s">
        <v>49</v>
      </c>
      <c r="D59" s="10">
        <v>800</v>
      </c>
      <c r="E59" s="18">
        <f>30000+20000-8260.5-3104.7-17994.6-570-203.9-391.8-300+101.1-6376.8-516.6+128.9-131.2-257.6-48.1-1815.7-7000</f>
        <v>3258.5</v>
      </c>
    </row>
    <row r="60" spans="1:5">
      <c r="A60" s="30" t="s">
        <v>50</v>
      </c>
      <c r="B60" s="5" t="s">
        <v>51</v>
      </c>
      <c r="C60" s="6"/>
      <c r="D60" s="7"/>
      <c r="E60" s="25">
        <f>E61+E76+E82+E86</f>
        <v>322897.30000000005</v>
      </c>
    </row>
    <row r="61" spans="1:5">
      <c r="A61" s="31" t="s">
        <v>16</v>
      </c>
      <c r="B61" s="8" t="s">
        <v>51</v>
      </c>
      <c r="C61" s="9" t="s">
        <v>17</v>
      </c>
      <c r="D61" s="10"/>
      <c r="E61" s="18">
        <f>E62+E66+E70+E72+E74</f>
        <v>252229.7</v>
      </c>
    </row>
    <row r="62" spans="1:5" ht="30.75" customHeight="1">
      <c r="A62" s="34" t="s">
        <v>32</v>
      </c>
      <c r="B62" s="8" t="s">
        <v>51</v>
      </c>
      <c r="C62" s="9" t="s">
        <v>33</v>
      </c>
      <c r="D62" s="10"/>
      <c r="E62" s="18">
        <f>SUM(E63:E65)</f>
        <v>32456.899999999998</v>
      </c>
    </row>
    <row r="63" spans="1:5" ht="60">
      <c r="A63" s="31" t="s">
        <v>13</v>
      </c>
      <c r="B63" s="8" t="s">
        <v>51</v>
      </c>
      <c r="C63" s="9" t="s">
        <v>33</v>
      </c>
      <c r="D63" s="10">
        <v>100</v>
      </c>
      <c r="E63" s="18">
        <f>27842.3+560-17.7-160-17.5-206.3</f>
        <v>28000.799999999999</v>
      </c>
    </row>
    <row r="64" spans="1:5" ht="30">
      <c r="A64" s="31" t="s">
        <v>26</v>
      </c>
      <c r="B64" s="8" t="s">
        <v>51</v>
      </c>
      <c r="C64" s="9" t="s">
        <v>33</v>
      </c>
      <c r="D64" s="10">
        <v>200</v>
      </c>
      <c r="E64" s="18">
        <f>1775.3-3.8+489.1+500+160</f>
        <v>2920.6</v>
      </c>
    </row>
    <row r="65" spans="1:5">
      <c r="A65" s="33" t="s">
        <v>27</v>
      </c>
      <c r="B65" s="8" t="s">
        <v>51</v>
      </c>
      <c r="C65" s="9" t="s">
        <v>33</v>
      </c>
      <c r="D65" s="10">
        <v>800</v>
      </c>
      <c r="E65" s="18">
        <f>175+1360.5</f>
        <v>1535.5</v>
      </c>
    </row>
    <row r="66" spans="1:5" ht="30">
      <c r="A66" s="32" t="s">
        <v>52</v>
      </c>
      <c r="B66" s="8" t="s">
        <v>51</v>
      </c>
      <c r="C66" s="9" t="s">
        <v>53</v>
      </c>
      <c r="D66" s="10"/>
      <c r="E66" s="18">
        <f>SUM(E67:E69)</f>
        <v>82420.5</v>
      </c>
    </row>
    <row r="67" spans="1:5" ht="60">
      <c r="A67" s="31" t="s">
        <v>13</v>
      </c>
      <c r="B67" s="8" t="s">
        <v>51</v>
      </c>
      <c r="C67" s="9" t="s">
        <v>53</v>
      </c>
      <c r="D67" s="10">
        <v>100</v>
      </c>
      <c r="E67" s="18">
        <f>54142.2+172.6-241.2-276.6</f>
        <v>53797</v>
      </c>
    </row>
    <row r="68" spans="1:5" ht="30">
      <c r="A68" s="31" t="s">
        <v>26</v>
      </c>
      <c r="B68" s="8" t="s">
        <v>51</v>
      </c>
      <c r="C68" s="9" t="s">
        <v>53</v>
      </c>
      <c r="D68" s="10">
        <v>200</v>
      </c>
      <c r="E68" s="18">
        <f>24055.2+450+315.4+370.2+306.2+150+1093.6-683.1</f>
        <v>26057.500000000004</v>
      </c>
    </row>
    <row r="69" spans="1:5">
      <c r="A69" s="33" t="s">
        <v>27</v>
      </c>
      <c r="B69" s="8" t="s">
        <v>51</v>
      </c>
      <c r="C69" s="9" t="s">
        <v>53</v>
      </c>
      <c r="D69" s="10">
        <v>800</v>
      </c>
      <c r="E69" s="18">
        <f>3455.8-889.8</f>
        <v>2566</v>
      </c>
    </row>
    <row r="70" spans="1:5" ht="30">
      <c r="A70" s="34" t="s">
        <v>54</v>
      </c>
      <c r="B70" s="8" t="s">
        <v>51</v>
      </c>
      <c r="C70" s="9" t="s">
        <v>55</v>
      </c>
      <c r="D70" s="10"/>
      <c r="E70" s="18">
        <f>E71</f>
        <v>1485.8</v>
      </c>
    </row>
    <row r="71" spans="1:5" ht="30">
      <c r="A71" s="34" t="s">
        <v>56</v>
      </c>
      <c r="B71" s="8" t="s">
        <v>51</v>
      </c>
      <c r="C71" s="9" t="s">
        <v>55</v>
      </c>
      <c r="D71" s="10">
        <v>600</v>
      </c>
      <c r="E71" s="18">
        <f>1470+30+25+5-44.2</f>
        <v>1485.8</v>
      </c>
    </row>
    <row r="72" spans="1:5">
      <c r="A72" s="31" t="s">
        <v>57</v>
      </c>
      <c r="B72" s="8" t="s">
        <v>51</v>
      </c>
      <c r="C72" s="9" t="s">
        <v>58</v>
      </c>
      <c r="D72" s="10"/>
      <c r="E72" s="18">
        <f>E73</f>
        <v>135099.70000000001</v>
      </c>
    </row>
    <row r="73" spans="1:5">
      <c r="A73" s="33" t="s">
        <v>27</v>
      </c>
      <c r="B73" s="8" t="s">
        <v>51</v>
      </c>
      <c r="C73" s="9" t="s">
        <v>58</v>
      </c>
      <c r="D73" s="10">
        <v>800</v>
      </c>
      <c r="E73" s="18">
        <f>21541+85.6+12+167.7+15.2+101.9+7777.4+5061.6+4032.1+19.4+3+396.4+25765+30324.2+5950.1+22081.1+7811.9+452.9-19.4+20.4-2037.3-246.5+2058+1168+2502+17.5+33.5+5</f>
        <v>135099.70000000001</v>
      </c>
    </row>
    <row r="74" spans="1:5" ht="30">
      <c r="A74" s="31" t="s">
        <v>59</v>
      </c>
      <c r="B74" s="8" t="s">
        <v>51</v>
      </c>
      <c r="C74" s="9" t="s">
        <v>60</v>
      </c>
      <c r="D74" s="10"/>
      <c r="E74" s="18">
        <f>E75</f>
        <v>766.8</v>
      </c>
    </row>
    <row r="75" spans="1:5">
      <c r="A75" s="31" t="s">
        <v>61</v>
      </c>
      <c r="B75" s="8" t="s">
        <v>51</v>
      </c>
      <c r="C75" s="9" t="s">
        <v>60</v>
      </c>
      <c r="D75" s="10">
        <v>300</v>
      </c>
      <c r="E75" s="18">
        <f>387.5+387.5-8.2</f>
        <v>766.8</v>
      </c>
    </row>
    <row r="76" spans="1:5" ht="45">
      <c r="A76" s="35" t="s">
        <v>62</v>
      </c>
      <c r="B76" s="12" t="s">
        <v>51</v>
      </c>
      <c r="C76" s="12" t="s">
        <v>63</v>
      </c>
      <c r="D76" s="52"/>
      <c r="E76" s="22">
        <f>SUM(E77)</f>
        <v>18135.900000000001</v>
      </c>
    </row>
    <row r="77" spans="1:5" ht="45">
      <c r="A77" s="35" t="s">
        <v>64</v>
      </c>
      <c r="B77" s="12" t="s">
        <v>51</v>
      </c>
      <c r="C77" s="12" t="s">
        <v>65</v>
      </c>
      <c r="D77" s="52"/>
      <c r="E77" s="22">
        <f>SUM(E78)</f>
        <v>18135.900000000001</v>
      </c>
    </row>
    <row r="78" spans="1:5" ht="30">
      <c r="A78" s="36" t="s">
        <v>66</v>
      </c>
      <c r="B78" s="12" t="s">
        <v>51</v>
      </c>
      <c r="C78" s="12" t="s">
        <v>67</v>
      </c>
      <c r="D78" s="52"/>
      <c r="E78" s="22">
        <f>SUM(E79:E81)</f>
        <v>18135.900000000001</v>
      </c>
    </row>
    <row r="79" spans="1:5" ht="60">
      <c r="A79" s="36" t="s">
        <v>13</v>
      </c>
      <c r="B79" s="12" t="s">
        <v>51</v>
      </c>
      <c r="C79" s="12" t="s">
        <v>67</v>
      </c>
      <c r="D79" s="52">
        <v>100</v>
      </c>
      <c r="E79" s="22">
        <f>17531.7-718-91.7</f>
        <v>16722</v>
      </c>
    </row>
    <row r="80" spans="1:5" ht="30">
      <c r="A80" s="36" t="s">
        <v>26</v>
      </c>
      <c r="B80" s="12" t="s">
        <v>51</v>
      </c>
      <c r="C80" s="12" t="s">
        <v>67</v>
      </c>
      <c r="D80" s="52">
        <v>200</v>
      </c>
      <c r="E80" s="22">
        <f>1431.6+302.6-416.3</f>
        <v>1317.8999999999999</v>
      </c>
    </row>
    <row r="81" spans="1:5">
      <c r="A81" s="33" t="s">
        <v>27</v>
      </c>
      <c r="B81" s="12" t="s">
        <v>51</v>
      </c>
      <c r="C81" s="12" t="s">
        <v>67</v>
      </c>
      <c r="D81" s="52">
        <v>800</v>
      </c>
      <c r="E81" s="22">
        <v>96</v>
      </c>
    </row>
    <row r="82" spans="1:5" ht="60">
      <c r="A82" s="35" t="s">
        <v>400</v>
      </c>
      <c r="B82" s="12" t="s">
        <v>51</v>
      </c>
      <c r="C82" s="12" t="s">
        <v>68</v>
      </c>
      <c r="D82" s="52"/>
      <c r="E82" s="22">
        <f>SUM(E83)</f>
        <v>400.00000000000011</v>
      </c>
    </row>
    <row r="83" spans="1:5" ht="30">
      <c r="A83" s="33" t="s">
        <v>69</v>
      </c>
      <c r="B83" s="12" t="s">
        <v>51</v>
      </c>
      <c r="C83" s="12" t="s">
        <v>70</v>
      </c>
      <c r="D83" s="52"/>
      <c r="E83" s="22">
        <f>SUM(E84)</f>
        <v>400.00000000000011</v>
      </c>
    </row>
    <row r="84" spans="1:5" ht="45">
      <c r="A84" s="33" t="s">
        <v>71</v>
      </c>
      <c r="B84" s="12" t="s">
        <v>51</v>
      </c>
      <c r="C84" s="12" t="s">
        <v>72</v>
      </c>
      <c r="D84" s="52"/>
      <c r="E84" s="22">
        <f>SUM(E85)</f>
        <v>400.00000000000011</v>
      </c>
    </row>
    <row r="85" spans="1:5" ht="30">
      <c r="A85" s="36" t="s">
        <v>26</v>
      </c>
      <c r="B85" s="12" t="s">
        <v>51</v>
      </c>
      <c r="C85" s="12" t="s">
        <v>72</v>
      </c>
      <c r="D85" s="52">
        <v>200</v>
      </c>
      <c r="E85" s="22">
        <f>2800-1670.1-729.9</f>
        <v>400.00000000000011</v>
      </c>
    </row>
    <row r="86" spans="1:5" ht="30">
      <c r="A86" s="35" t="s">
        <v>73</v>
      </c>
      <c r="B86" s="12" t="s">
        <v>51</v>
      </c>
      <c r="C86" s="12" t="s">
        <v>74</v>
      </c>
      <c r="D86" s="52"/>
      <c r="E86" s="22">
        <f>SUM(E87+E89+E91)</f>
        <v>52131.700000000004</v>
      </c>
    </row>
    <row r="87" spans="1:5">
      <c r="A87" s="35" t="s">
        <v>401</v>
      </c>
      <c r="B87" s="12" t="s">
        <v>51</v>
      </c>
      <c r="C87" s="12" t="s">
        <v>75</v>
      </c>
      <c r="D87" s="52"/>
      <c r="E87" s="22">
        <f>E88</f>
        <v>433.0000000000029</v>
      </c>
    </row>
    <row r="88" spans="1:5" ht="30">
      <c r="A88" s="36" t="s">
        <v>26</v>
      </c>
      <c r="B88" s="12" t="s">
        <v>51</v>
      </c>
      <c r="C88" s="12" t="s">
        <v>75</v>
      </c>
      <c r="D88" s="52">
        <v>200</v>
      </c>
      <c r="E88" s="22">
        <f>18886.4-546-17449.1-458.3</f>
        <v>433.0000000000029</v>
      </c>
    </row>
    <row r="89" spans="1:5" ht="30">
      <c r="A89" s="36" t="s">
        <v>66</v>
      </c>
      <c r="B89" s="12" t="s">
        <v>51</v>
      </c>
      <c r="C89" s="12" t="s">
        <v>76</v>
      </c>
      <c r="D89" s="52"/>
      <c r="E89" s="22">
        <f>SUM(E90)</f>
        <v>44068.3</v>
      </c>
    </row>
    <row r="90" spans="1:5" ht="30">
      <c r="A90" s="36" t="s">
        <v>77</v>
      </c>
      <c r="B90" s="12" t="s">
        <v>51</v>
      </c>
      <c r="C90" s="12" t="s">
        <v>76</v>
      </c>
      <c r="D90" s="52">
        <v>600</v>
      </c>
      <c r="E90" s="22">
        <f>22669.2+546+17449.1+3000+404</f>
        <v>44068.3</v>
      </c>
    </row>
    <row r="91" spans="1:5" ht="30">
      <c r="A91" s="36" t="s">
        <v>78</v>
      </c>
      <c r="B91" s="12" t="s">
        <v>51</v>
      </c>
      <c r="C91" s="12" t="s">
        <v>79</v>
      </c>
      <c r="D91" s="52"/>
      <c r="E91" s="22">
        <f>SUM(E92)</f>
        <v>7630.4000000000005</v>
      </c>
    </row>
    <row r="92" spans="1:5" ht="30">
      <c r="A92" s="36" t="s">
        <v>26</v>
      </c>
      <c r="B92" s="12" t="s">
        <v>51</v>
      </c>
      <c r="C92" s="12" t="s">
        <v>79</v>
      </c>
      <c r="D92" s="52">
        <v>200</v>
      </c>
      <c r="E92" s="22">
        <f>18448-8865.4-1952.2</f>
        <v>7630.4000000000005</v>
      </c>
    </row>
    <row r="93" spans="1:5">
      <c r="A93" s="30" t="s">
        <v>80</v>
      </c>
      <c r="B93" s="5" t="s">
        <v>81</v>
      </c>
      <c r="C93" s="6"/>
      <c r="D93" s="7"/>
      <c r="E93" s="25">
        <f>E94</f>
        <v>3545.5</v>
      </c>
    </row>
    <row r="94" spans="1:5" s="15" customFormat="1">
      <c r="A94" s="30" t="s">
        <v>82</v>
      </c>
      <c r="B94" s="5" t="s">
        <v>83</v>
      </c>
      <c r="C94" s="6"/>
      <c r="D94" s="7"/>
      <c r="E94" s="25">
        <f>E95</f>
        <v>3545.5</v>
      </c>
    </row>
    <row r="95" spans="1:5">
      <c r="A95" s="31" t="s">
        <v>16</v>
      </c>
      <c r="B95" s="8" t="s">
        <v>83</v>
      </c>
      <c r="C95" s="9" t="s">
        <v>17</v>
      </c>
      <c r="D95" s="10"/>
      <c r="E95" s="18">
        <f>E96+E98+E101</f>
        <v>3545.5</v>
      </c>
    </row>
    <row r="96" spans="1:5">
      <c r="A96" s="31" t="s">
        <v>84</v>
      </c>
      <c r="B96" s="8" t="s">
        <v>83</v>
      </c>
      <c r="C96" s="9" t="s">
        <v>85</v>
      </c>
      <c r="D96" s="10"/>
      <c r="E96" s="18">
        <v>200</v>
      </c>
    </row>
    <row r="97" spans="1:5" ht="30">
      <c r="A97" s="31" t="s">
        <v>26</v>
      </c>
      <c r="B97" s="8" t="s">
        <v>83</v>
      </c>
      <c r="C97" s="9" t="s">
        <v>85</v>
      </c>
      <c r="D97" s="10">
        <v>200</v>
      </c>
      <c r="E97" s="18">
        <v>200</v>
      </c>
    </row>
    <row r="98" spans="1:5">
      <c r="A98" s="31" t="s">
        <v>86</v>
      </c>
      <c r="B98" s="8" t="s">
        <v>83</v>
      </c>
      <c r="C98" s="9" t="s">
        <v>87</v>
      </c>
      <c r="D98" s="10"/>
      <c r="E98" s="18">
        <f>SUM(E99:E100)</f>
        <v>54</v>
      </c>
    </row>
    <row r="99" spans="1:5" ht="30">
      <c r="A99" s="31" t="s">
        <v>26</v>
      </c>
      <c r="B99" s="8" t="s">
        <v>83</v>
      </c>
      <c r="C99" s="9" t="s">
        <v>87</v>
      </c>
      <c r="D99" s="10">
        <v>200</v>
      </c>
      <c r="E99" s="18">
        <f>301.7-20-237.7</f>
        <v>44</v>
      </c>
    </row>
    <row r="100" spans="1:5">
      <c r="A100" s="54" t="s">
        <v>61</v>
      </c>
      <c r="B100" s="8" t="s">
        <v>83</v>
      </c>
      <c r="C100" s="9" t="s">
        <v>87</v>
      </c>
      <c r="D100" s="10">
        <v>300</v>
      </c>
      <c r="E100" s="18">
        <f>20-10</f>
        <v>10</v>
      </c>
    </row>
    <row r="101" spans="1:5" ht="45">
      <c r="A101" s="31" t="s">
        <v>421</v>
      </c>
      <c r="B101" s="8" t="s">
        <v>83</v>
      </c>
      <c r="C101" s="9" t="s">
        <v>425</v>
      </c>
      <c r="D101" s="10"/>
      <c r="E101" s="18">
        <f>E102</f>
        <v>3291.5</v>
      </c>
    </row>
    <row r="102" spans="1:5" ht="60">
      <c r="A102" s="31" t="s">
        <v>493</v>
      </c>
      <c r="B102" s="8" t="s">
        <v>83</v>
      </c>
      <c r="C102" s="9" t="s">
        <v>494</v>
      </c>
      <c r="D102" s="10"/>
      <c r="E102" s="18">
        <f>E103</f>
        <v>3291.5</v>
      </c>
    </row>
    <row r="103" spans="1:5" ht="30">
      <c r="A103" s="31" t="s">
        <v>26</v>
      </c>
      <c r="B103" s="8" t="s">
        <v>83</v>
      </c>
      <c r="C103" s="9" t="s">
        <v>494</v>
      </c>
      <c r="D103" s="10">
        <v>200</v>
      </c>
      <c r="E103" s="63">
        <v>3291.5</v>
      </c>
    </row>
    <row r="104" spans="1:5" ht="28.5">
      <c r="A104" s="30" t="s">
        <v>88</v>
      </c>
      <c r="B104" s="5" t="s">
        <v>89</v>
      </c>
      <c r="C104" s="6"/>
      <c r="D104" s="7"/>
      <c r="E104" s="25">
        <f>SUM(E105)</f>
        <v>71898.499999999985</v>
      </c>
    </row>
    <row r="105" spans="1:5" s="15" customFormat="1" ht="42.75">
      <c r="A105" s="50" t="s">
        <v>90</v>
      </c>
      <c r="B105" s="5" t="s">
        <v>91</v>
      </c>
      <c r="C105" s="6"/>
      <c r="D105" s="7"/>
      <c r="E105" s="25">
        <f>SUM(E109)+E106</f>
        <v>71898.499999999985</v>
      </c>
    </row>
    <row r="106" spans="1:5" s="15" customFormat="1">
      <c r="A106" s="31" t="s">
        <v>16</v>
      </c>
      <c r="B106" s="8" t="s">
        <v>91</v>
      </c>
      <c r="C106" s="9" t="s">
        <v>17</v>
      </c>
      <c r="D106" s="10"/>
      <c r="E106" s="18">
        <f>E107</f>
        <v>665.7</v>
      </c>
    </row>
    <row r="107" spans="1:5" s="15" customFormat="1" ht="18" customHeight="1">
      <c r="A107" s="31" t="s">
        <v>48</v>
      </c>
      <c r="B107" s="8" t="s">
        <v>91</v>
      </c>
      <c r="C107" s="9" t="s">
        <v>49</v>
      </c>
      <c r="D107" s="10"/>
      <c r="E107" s="18">
        <f>E108</f>
        <v>665.7</v>
      </c>
    </row>
    <row r="108" spans="1:5" s="15" customFormat="1" ht="30">
      <c r="A108" s="31" t="s">
        <v>26</v>
      </c>
      <c r="B108" s="8" t="s">
        <v>91</v>
      </c>
      <c r="C108" s="9" t="s">
        <v>49</v>
      </c>
      <c r="D108" s="10">
        <v>200</v>
      </c>
      <c r="E108" s="63">
        <f>895.7-101.1-128.9</f>
        <v>665.7</v>
      </c>
    </row>
    <row r="109" spans="1:5" ht="45">
      <c r="A109" s="37" t="s">
        <v>92</v>
      </c>
      <c r="B109" s="8" t="s">
        <v>91</v>
      </c>
      <c r="C109" s="9" t="s">
        <v>93</v>
      </c>
      <c r="D109" s="10"/>
      <c r="E109" s="18">
        <f>SUM(E110+E115+E120+E126)</f>
        <v>71232.799999999988</v>
      </c>
    </row>
    <row r="110" spans="1:5" ht="30">
      <c r="A110" s="37" t="s">
        <v>94</v>
      </c>
      <c r="B110" s="8" t="s">
        <v>91</v>
      </c>
      <c r="C110" s="9" t="s">
        <v>95</v>
      </c>
      <c r="D110" s="10"/>
      <c r="E110" s="18">
        <f>E111+E113</f>
        <v>19899.2</v>
      </c>
    </row>
    <row r="111" spans="1:5">
      <c r="A111" s="37" t="s">
        <v>96</v>
      </c>
      <c r="B111" s="8" t="s">
        <v>91</v>
      </c>
      <c r="C111" s="9" t="s">
        <v>97</v>
      </c>
      <c r="D111" s="10"/>
      <c r="E111" s="18">
        <f>E112</f>
        <v>19300.2</v>
      </c>
    </row>
    <row r="112" spans="1:5" ht="30">
      <c r="A112" s="31" t="s">
        <v>26</v>
      </c>
      <c r="B112" s="8" t="s">
        <v>91</v>
      </c>
      <c r="C112" s="9" t="s">
        <v>97</v>
      </c>
      <c r="D112" s="10">
        <v>200</v>
      </c>
      <c r="E112" s="18">
        <f>11625+7007.1-0.1+675-6.8</f>
        <v>19300.2</v>
      </c>
    </row>
    <row r="113" spans="1:5" ht="105">
      <c r="A113" s="31" t="s">
        <v>542</v>
      </c>
      <c r="B113" s="8" t="s">
        <v>91</v>
      </c>
      <c r="C113" s="9" t="s">
        <v>524</v>
      </c>
      <c r="D113" s="10"/>
      <c r="E113" s="18">
        <f>E114</f>
        <v>599</v>
      </c>
    </row>
    <row r="114" spans="1:5" ht="30">
      <c r="A114" s="31" t="s">
        <v>26</v>
      </c>
      <c r="B114" s="8" t="s">
        <v>91</v>
      </c>
      <c r="C114" s="9" t="s">
        <v>524</v>
      </c>
      <c r="D114" s="10">
        <v>200</v>
      </c>
      <c r="E114" s="18">
        <v>599</v>
      </c>
    </row>
    <row r="115" spans="1:5" ht="45">
      <c r="A115" s="31" t="s">
        <v>98</v>
      </c>
      <c r="B115" s="8" t="s">
        <v>91</v>
      </c>
      <c r="C115" s="9" t="s">
        <v>99</v>
      </c>
      <c r="D115" s="10"/>
      <c r="E115" s="18">
        <f>SUM(E116+E118)</f>
        <v>1754.8</v>
      </c>
    </row>
    <row r="116" spans="1:5" ht="45">
      <c r="A116" s="31" t="s">
        <v>100</v>
      </c>
      <c r="B116" s="13" t="s">
        <v>91</v>
      </c>
      <c r="C116" s="13" t="s">
        <v>101</v>
      </c>
      <c r="D116" s="13"/>
      <c r="E116" s="18">
        <f>E117</f>
        <v>43.7</v>
      </c>
    </row>
    <row r="117" spans="1:5" ht="30">
      <c r="A117" s="31" t="s">
        <v>26</v>
      </c>
      <c r="B117" s="13" t="s">
        <v>91</v>
      </c>
      <c r="C117" s="13" t="s">
        <v>101</v>
      </c>
      <c r="D117" s="13" t="s">
        <v>39</v>
      </c>
      <c r="E117" s="18">
        <f>70-26.3</f>
        <v>43.7</v>
      </c>
    </row>
    <row r="118" spans="1:5" ht="30">
      <c r="A118" s="31" t="s">
        <v>102</v>
      </c>
      <c r="B118" s="8" t="s">
        <v>91</v>
      </c>
      <c r="C118" s="9" t="s">
        <v>103</v>
      </c>
      <c r="D118" s="10"/>
      <c r="E118" s="18">
        <f>E119</f>
        <v>1711.1</v>
      </c>
    </row>
    <row r="119" spans="1:5" ht="60">
      <c r="A119" s="31" t="s">
        <v>13</v>
      </c>
      <c r="B119" s="8" t="s">
        <v>91</v>
      </c>
      <c r="C119" s="9" t="s">
        <v>103</v>
      </c>
      <c r="D119" s="10">
        <v>100</v>
      </c>
      <c r="E119" s="18">
        <f>1817-105.9</f>
        <v>1711.1</v>
      </c>
    </row>
    <row r="120" spans="1:5" ht="30">
      <c r="A120" s="37" t="s">
        <v>104</v>
      </c>
      <c r="B120" s="8" t="s">
        <v>91</v>
      </c>
      <c r="C120" s="9" t="s">
        <v>105</v>
      </c>
      <c r="D120" s="10"/>
      <c r="E120" s="18">
        <f>SUM(E121+E124)</f>
        <v>3234</v>
      </c>
    </row>
    <row r="121" spans="1:5">
      <c r="A121" s="37" t="s">
        <v>106</v>
      </c>
      <c r="B121" s="8" t="s">
        <v>91</v>
      </c>
      <c r="C121" s="9" t="s">
        <v>107</v>
      </c>
      <c r="D121" s="10"/>
      <c r="E121" s="18">
        <f>E122+E123</f>
        <v>3157.1</v>
      </c>
    </row>
    <row r="122" spans="1:5" ht="60">
      <c r="A122" s="31" t="s">
        <v>13</v>
      </c>
      <c r="B122" s="8" t="s">
        <v>91</v>
      </c>
      <c r="C122" s="9" t="s">
        <v>107</v>
      </c>
      <c r="D122" s="10">
        <v>100</v>
      </c>
      <c r="E122" s="18">
        <f>1171.8-48.3</f>
        <v>1123.5</v>
      </c>
    </row>
    <row r="123" spans="1:5" ht="30">
      <c r="A123" s="31" t="s">
        <v>26</v>
      </c>
      <c r="B123" s="8" t="s">
        <v>91</v>
      </c>
      <c r="C123" s="9" t="s">
        <v>107</v>
      </c>
      <c r="D123" s="10">
        <v>200</v>
      </c>
      <c r="E123" s="18">
        <f>1084.2+609.5-22.7+430-67.4</f>
        <v>2033.6</v>
      </c>
    </row>
    <row r="124" spans="1:5">
      <c r="A124" s="31" t="s">
        <v>108</v>
      </c>
      <c r="B124" s="8" t="s">
        <v>91</v>
      </c>
      <c r="C124" s="9" t="s">
        <v>109</v>
      </c>
      <c r="D124" s="10"/>
      <c r="E124" s="18">
        <f>E125</f>
        <v>76.900000000000006</v>
      </c>
    </row>
    <row r="125" spans="1:5" ht="30">
      <c r="A125" s="31" t="s">
        <v>26</v>
      </c>
      <c r="B125" s="8" t="s">
        <v>91</v>
      </c>
      <c r="C125" s="9" t="s">
        <v>109</v>
      </c>
      <c r="D125" s="10">
        <v>200</v>
      </c>
      <c r="E125" s="18">
        <f>69+7.9</f>
        <v>76.900000000000006</v>
      </c>
    </row>
    <row r="126" spans="1:5" ht="45">
      <c r="A126" s="31" t="s">
        <v>110</v>
      </c>
      <c r="B126" s="8" t="s">
        <v>91</v>
      </c>
      <c r="C126" s="9" t="s">
        <v>111</v>
      </c>
      <c r="D126" s="10"/>
      <c r="E126" s="18">
        <f>SUM(E127)</f>
        <v>46344.799999999996</v>
      </c>
    </row>
    <row r="127" spans="1:5" ht="30">
      <c r="A127" s="32" t="s">
        <v>52</v>
      </c>
      <c r="B127" s="8" t="s">
        <v>91</v>
      </c>
      <c r="C127" s="11" t="s">
        <v>112</v>
      </c>
      <c r="D127" s="10"/>
      <c r="E127" s="18">
        <f>SUM(E128:E130)</f>
        <v>46344.799999999996</v>
      </c>
    </row>
    <row r="128" spans="1:5" ht="60">
      <c r="A128" s="31" t="s">
        <v>13</v>
      </c>
      <c r="B128" s="8" t="s">
        <v>91</v>
      </c>
      <c r="C128" s="11" t="s">
        <v>112</v>
      </c>
      <c r="D128" s="10">
        <v>100</v>
      </c>
      <c r="E128" s="18">
        <f>42949.1-376.6-120.5-499.4-29.8</f>
        <v>41922.799999999996</v>
      </c>
    </row>
    <row r="129" spans="1:5" ht="30">
      <c r="A129" s="31" t="s">
        <v>26</v>
      </c>
      <c r="B129" s="8" t="s">
        <v>91</v>
      </c>
      <c r="C129" s="11" t="s">
        <v>112</v>
      </c>
      <c r="D129" s="10">
        <v>200</v>
      </c>
      <c r="E129" s="18">
        <f>2954.3+146.5+70.8+621.9+29.8</f>
        <v>3823.3000000000006</v>
      </c>
    </row>
    <row r="130" spans="1:5">
      <c r="A130" s="33" t="s">
        <v>27</v>
      </c>
      <c r="B130" s="8" t="s">
        <v>91</v>
      </c>
      <c r="C130" s="11" t="s">
        <v>112</v>
      </c>
      <c r="D130" s="10">
        <v>800</v>
      </c>
      <c r="E130" s="18">
        <f>478.2+120.5</f>
        <v>598.70000000000005</v>
      </c>
    </row>
    <row r="131" spans="1:5">
      <c r="A131" s="38" t="s">
        <v>113</v>
      </c>
      <c r="B131" s="14" t="s">
        <v>114</v>
      </c>
      <c r="C131" s="14"/>
      <c r="D131" s="53"/>
      <c r="E131" s="26">
        <f>E132+E140+E149+E217+E175</f>
        <v>1320318.8999999999</v>
      </c>
    </row>
    <row r="132" spans="1:5">
      <c r="A132" s="39" t="s">
        <v>115</v>
      </c>
      <c r="B132" s="14" t="s">
        <v>116</v>
      </c>
      <c r="C132" s="14"/>
      <c r="D132" s="53"/>
      <c r="E132" s="26">
        <f>E133</f>
        <v>1093.4000000000001</v>
      </c>
    </row>
    <row r="133" spans="1:5">
      <c r="A133" s="31" t="s">
        <v>16</v>
      </c>
      <c r="B133" s="12" t="s">
        <v>116</v>
      </c>
      <c r="C133" s="12" t="s">
        <v>17</v>
      </c>
      <c r="D133" s="53"/>
      <c r="E133" s="22">
        <f>E136+E135</f>
        <v>1093.4000000000001</v>
      </c>
    </row>
    <row r="134" spans="1:5">
      <c r="A134" s="31" t="s">
        <v>48</v>
      </c>
      <c r="B134" s="12" t="s">
        <v>116</v>
      </c>
      <c r="C134" s="9" t="s">
        <v>49</v>
      </c>
      <c r="D134" s="10"/>
      <c r="E134" s="22">
        <f>E135</f>
        <v>468.40000000000003</v>
      </c>
    </row>
    <row r="135" spans="1:5" ht="30">
      <c r="A135" s="31" t="s">
        <v>26</v>
      </c>
      <c r="B135" s="12" t="s">
        <v>116</v>
      </c>
      <c r="C135" s="9" t="s">
        <v>49</v>
      </c>
      <c r="D135" s="10">
        <v>200</v>
      </c>
      <c r="E135" s="22">
        <f>516.6-48.2</f>
        <v>468.40000000000003</v>
      </c>
    </row>
    <row r="136" spans="1:5">
      <c r="A136" s="33" t="s">
        <v>34</v>
      </c>
      <c r="B136" s="12" t="s">
        <v>116</v>
      </c>
      <c r="C136" s="12" t="s">
        <v>35</v>
      </c>
      <c r="D136" s="52"/>
      <c r="E136" s="22">
        <f>SUM(E137)</f>
        <v>625</v>
      </c>
    </row>
    <row r="137" spans="1:5" ht="45">
      <c r="A137" s="33" t="s">
        <v>117</v>
      </c>
      <c r="B137" s="12" t="s">
        <v>116</v>
      </c>
      <c r="C137" s="9" t="s">
        <v>118</v>
      </c>
      <c r="D137" s="52"/>
      <c r="E137" s="22">
        <f>SUM(E138)</f>
        <v>625</v>
      </c>
    </row>
    <row r="138" spans="1:5" ht="105">
      <c r="A138" s="40" t="s">
        <v>119</v>
      </c>
      <c r="B138" s="12" t="s">
        <v>116</v>
      </c>
      <c r="C138" s="9" t="s">
        <v>118</v>
      </c>
      <c r="D138" s="52"/>
      <c r="E138" s="22">
        <f>SUM(E139)</f>
        <v>625</v>
      </c>
    </row>
    <row r="139" spans="1:5" ht="30">
      <c r="A139" s="31" t="s">
        <v>26</v>
      </c>
      <c r="B139" s="12" t="s">
        <v>116</v>
      </c>
      <c r="C139" s="9" t="s">
        <v>118</v>
      </c>
      <c r="D139" s="52">
        <v>200</v>
      </c>
      <c r="E139" s="22">
        <f>683.5-58.5</f>
        <v>625</v>
      </c>
    </row>
    <row r="140" spans="1:5">
      <c r="A140" s="38" t="s">
        <v>120</v>
      </c>
      <c r="B140" s="14" t="s">
        <v>121</v>
      </c>
      <c r="C140" s="14"/>
      <c r="D140" s="53"/>
      <c r="E140" s="26">
        <f>SUM(E141)</f>
        <v>255323.6</v>
      </c>
    </row>
    <row r="141" spans="1:5" ht="45">
      <c r="A141" s="35" t="s">
        <v>92</v>
      </c>
      <c r="B141" s="12" t="s">
        <v>121</v>
      </c>
      <c r="C141" s="12" t="s">
        <v>93</v>
      </c>
      <c r="D141" s="52"/>
      <c r="E141" s="22">
        <f>SUM(E142)</f>
        <v>255323.6</v>
      </c>
    </row>
    <row r="142" spans="1:5" ht="30">
      <c r="A142" s="35" t="s">
        <v>122</v>
      </c>
      <c r="B142" s="12" t="s">
        <v>121</v>
      </c>
      <c r="C142" s="12" t="s">
        <v>123</v>
      </c>
      <c r="D142" s="52"/>
      <c r="E142" s="22">
        <f>SUM(E143+E145+E147)</f>
        <v>255323.6</v>
      </c>
    </row>
    <row r="143" spans="1:5" ht="30">
      <c r="A143" s="41" t="s">
        <v>124</v>
      </c>
      <c r="B143" s="12" t="s">
        <v>121</v>
      </c>
      <c r="C143" s="12" t="s">
        <v>125</v>
      </c>
      <c r="D143" s="52"/>
      <c r="E143" s="22">
        <f>SUM(E144)</f>
        <v>323.60000000000218</v>
      </c>
    </row>
    <row r="144" spans="1:5" ht="30">
      <c r="A144" s="36" t="s">
        <v>126</v>
      </c>
      <c r="B144" s="12" t="s">
        <v>121</v>
      </c>
      <c r="C144" s="12" t="s">
        <v>125</v>
      </c>
      <c r="D144" s="52">
        <v>400</v>
      </c>
      <c r="E144" s="22">
        <f>26635.7-4970.9-21341.2</f>
        <v>323.60000000000218</v>
      </c>
    </row>
    <row r="145" spans="1:5" ht="60" hidden="1">
      <c r="A145" s="55" t="s">
        <v>407</v>
      </c>
      <c r="B145" s="12" t="s">
        <v>121</v>
      </c>
      <c r="C145" s="12" t="s">
        <v>127</v>
      </c>
      <c r="D145" s="52"/>
      <c r="E145" s="22">
        <f>SUM(E146)</f>
        <v>0</v>
      </c>
    </row>
    <row r="146" spans="1:5" ht="30" hidden="1">
      <c r="A146" s="36" t="s">
        <v>126</v>
      </c>
      <c r="B146" s="12" t="s">
        <v>121</v>
      </c>
      <c r="C146" s="12" t="s">
        <v>127</v>
      </c>
      <c r="D146" s="52">
        <v>400</v>
      </c>
      <c r="E146" s="22">
        <f>883.5+256.5-1140</f>
        <v>0</v>
      </c>
    </row>
    <row r="147" spans="1:5" ht="135">
      <c r="A147" s="68" t="s">
        <v>413</v>
      </c>
      <c r="B147" s="12" t="s">
        <v>121</v>
      </c>
      <c r="C147" s="12" t="s">
        <v>414</v>
      </c>
      <c r="D147" s="52"/>
      <c r="E147" s="22">
        <f>E148</f>
        <v>255000</v>
      </c>
    </row>
    <row r="148" spans="1:5" ht="30">
      <c r="A148" s="55" t="s">
        <v>126</v>
      </c>
      <c r="B148" s="12" t="s">
        <v>121</v>
      </c>
      <c r="C148" s="12" t="s">
        <v>414</v>
      </c>
      <c r="D148" s="52">
        <v>400</v>
      </c>
      <c r="E148" s="22">
        <v>255000</v>
      </c>
    </row>
    <row r="149" spans="1:5">
      <c r="A149" s="38" t="s">
        <v>128</v>
      </c>
      <c r="B149" s="14" t="s">
        <v>129</v>
      </c>
      <c r="C149" s="14"/>
      <c r="D149" s="53"/>
      <c r="E149" s="26">
        <f>SUM(E150)</f>
        <v>119161.40000000001</v>
      </c>
    </row>
    <row r="150" spans="1:5" ht="30">
      <c r="A150" s="35" t="s">
        <v>130</v>
      </c>
      <c r="B150" s="12" t="s">
        <v>129</v>
      </c>
      <c r="C150" s="12" t="s">
        <v>131</v>
      </c>
      <c r="D150" s="52"/>
      <c r="E150" s="22">
        <f>SUM(E156)+E151</f>
        <v>119161.40000000001</v>
      </c>
    </row>
    <row r="151" spans="1:5" ht="45">
      <c r="A151" s="35" t="s">
        <v>148</v>
      </c>
      <c r="B151" s="12" t="s">
        <v>129</v>
      </c>
      <c r="C151" s="12" t="s">
        <v>149</v>
      </c>
      <c r="D151" s="52"/>
      <c r="E151" s="22">
        <f>E152+E154</f>
        <v>4975.3</v>
      </c>
    </row>
    <row r="152" spans="1:5" ht="150">
      <c r="A152" s="35" t="s">
        <v>556</v>
      </c>
      <c r="B152" s="12" t="s">
        <v>129</v>
      </c>
      <c r="C152" s="12" t="s">
        <v>545</v>
      </c>
      <c r="D152" s="52"/>
      <c r="E152" s="22">
        <f>E153</f>
        <v>1217.7</v>
      </c>
    </row>
    <row r="153" spans="1:5">
      <c r="A153" s="36" t="s">
        <v>27</v>
      </c>
      <c r="B153" s="12" t="s">
        <v>129</v>
      </c>
      <c r="C153" s="12" t="s">
        <v>545</v>
      </c>
      <c r="D153" s="52">
        <v>800</v>
      </c>
      <c r="E153" s="22">
        <v>1217.7</v>
      </c>
    </row>
    <row r="154" spans="1:5" ht="150">
      <c r="A154" s="36" t="s">
        <v>556</v>
      </c>
      <c r="B154" s="12" t="s">
        <v>129</v>
      </c>
      <c r="C154" s="12" t="s">
        <v>546</v>
      </c>
      <c r="D154" s="52"/>
      <c r="E154" s="22">
        <f>E155</f>
        <v>3757.6</v>
      </c>
    </row>
    <row r="155" spans="1:5">
      <c r="A155" s="36" t="s">
        <v>27</v>
      </c>
      <c r="B155" s="12" t="s">
        <v>129</v>
      </c>
      <c r="C155" s="12" t="s">
        <v>546</v>
      </c>
      <c r="D155" s="52">
        <v>800</v>
      </c>
      <c r="E155" s="22">
        <v>3757.6</v>
      </c>
    </row>
    <row r="156" spans="1:5" ht="30">
      <c r="A156" s="35" t="s">
        <v>132</v>
      </c>
      <c r="B156" s="12" t="s">
        <v>129</v>
      </c>
      <c r="C156" s="12" t="s">
        <v>133</v>
      </c>
      <c r="D156" s="52"/>
      <c r="E156" s="22">
        <f>SUM(E159+E163+E165+E167+E169+E171+E173)+E157+E161</f>
        <v>114186.1</v>
      </c>
    </row>
    <row r="157" spans="1:5" ht="135">
      <c r="A157" s="68" t="s">
        <v>491</v>
      </c>
      <c r="B157" s="12" t="s">
        <v>129</v>
      </c>
      <c r="C157" s="12" t="s">
        <v>492</v>
      </c>
      <c r="D157" s="52"/>
      <c r="E157" s="22">
        <f>E158</f>
        <v>9232.6</v>
      </c>
    </row>
    <row r="158" spans="1:5" ht="30">
      <c r="A158" s="36" t="s">
        <v>26</v>
      </c>
      <c r="B158" s="12" t="s">
        <v>129</v>
      </c>
      <c r="C158" s="12" t="s">
        <v>492</v>
      </c>
      <c r="D158" s="52">
        <v>200</v>
      </c>
      <c r="E158" s="22">
        <v>9232.6</v>
      </c>
    </row>
    <row r="159" spans="1:5" ht="30">
      <c r="A159" s="36" t="s">
        <v>66</v>
      </c>
      <c r="B159" s="12" t="s">
        <v>129</v>
      </c>
      <c r="C159" s="12" t="s">
        <v>134</v>
      </c>
      <c r="D159" s="52"/>
      <c r="E159" s="22">
        <f>SUM(E160)</f>
        <v>4261.7</v>
      </c>
    </row>
    <row r="160" spans="1:5" ht="30">
      <c r="A160" s="36" t="s">
        <v>77</v>
      </c>
      <c r="B160" s="12" t="s">
        <v>129</v>
      </c>
      <c r="C160" s="12" t="s">
        <v>134</v>
      </c>
      <c r="D160" s="52">
        <v>600</v>
      </c>
      <c r="E160" s="22">
        <f>4295.7-34</f>
        <v>4261.7</v>
      </c>
    </row>
    <row r="161" spans="1:5" ht="135">
      <c r="A161" s="68" t="s">
        <v>490</v>
      </c>
      <c r="B161" s="12" t="s">
        <v>129</v>
      </c>
      <c r="C161" s="12" t="s">
        <v>489</v>
      </c>
      <c r="D161" s="52"/>
      <c r="E161" s="22">
        <f>E162</f>
        <v>11115</v>
      </c>
    </row>
    <row r="162" spans="1:5" ht="30">
      <c r="A162" s="36" t="s">
        <v>26</v>
      </c>
      <c r="B162" s="12" t="s">
        <v>129</v>
      </c>
      <c r="C162" s="12" t="s">
        <v>489</v>
      </c>
      <c r="D162" s="52">
        <v>200</v>
      </c>
      <c r="E162" s="22">
        <v>11115</v>
      </c>
    </row>
    <row r="163" spans="1:5" ht="45">
      <c r="A163" s="35" t="s">
        <v>135</v>
      </c>
      <c r="B163" s="12" t="s">
        <v>129</v>
      </c>
      <c r="C163" s="12" t="s">
        <v>136</v>
      </c>
      <c r="D163" s="52"/>
      <c r="E163" s="22">
        <f>SUM(E164)</f>
        <v>34782.9</v>
      </c>
    </row>
    <row r="164" spans="1:5">
      <c r="A164" s="36" t="s">
        <v>27</v>
      </c>
      <c r="B164" s="12" t="s">
        <v>129</v>
      </c>
      <c r="C164" s="12" t="s">
        <v>136</v>
      </c>
      <c r="D164" s="52">
        <v>800</v>
      </c>
      <c r="E164" s="22">
        <f>36082.9-1000-300</f>
        <v>34782.9</v>
      </c>
    </row>
    <row r="165" spans="1:5" ht="90">
      <c r="A165" s="35" t="s">
        <v>530</v>
      </c>
      <c r="B165" s="12" t="s">
        <v>129</v>
      </c>
      <c r="C165" s="12" t="s">
        <v>137</v>
      </c>
      <c r="D165" s="52"/>
      <c r="E165" s="22">
        <f>SUM(E166)</f>
        <v>11338.9</v>
      </c>
    </row>
    <row r="166" spans="1:5">
      <c r="A166" s="36" t="s">
        <v>27</v>
      </c>
      <c r="B166" s="12" t="s">
        <v>129</v>
      </c>
      <c r="C166" s="12" t="s">
        <v>137</v>
      </c>
      <c r="D166" s="52">
        <v>800</v>
      </c>
      <c r="E166" s="22">
        <f>7838.9+1000+300+2200</f>
        <v>11338.9</v>
      </c>
    </row>
    <row r="167" spans="1:5" ht="75">
      <c r="A167" s="42" t="s">
        <v>138</v>
      </c>
      <c r="B167" s="12" t="s">
        <v>129</v>
      </c>
      <c r="C167" s="12" t="s">
        <v>139</v>
      </c>
      <c r="D167" s="52"/>
      <c r="E167" s="22">
        <f>SUM(E168)</f>
        <v>992</v>
      </c>
    </row>
    <row r="168" spans="1:5">
      <c r="A168" s="36" t="s">
        <v>27</v>
      </c>
      <c r="B168" s="12" t="s">
        <v>129</v>
      </c>
      <c r="C168" s="12" t="s">
        <v>139</v>
      </c>
      <c r="D168" s="52">
        <v>800</v>
      </c>
      <c r="E168" s="22">
        <v>992</v>
      </c>
    </row>
    <row r="169" spans="1:5" ht="60">
      <c r="A169" s="36" t="s">
        <v>140</v>
      </c>
      <c r="B169" s="12" t="s">
        <v>129</v>
      </c>
      <c r="C169" s="12" t="s">
        <v>141</v>
      </c>
      <c r="D169" s="52"/>
      <c r="E169" s="22">
        <f>SUM(E170)</f>
        <v>8690.8000000000011</v>
      </c>
    </row>
    <row r="170" spans="1:5">
      <c r="A170" s="36" t="s">
        <v>27</v>
      </c>
      <c r="B170" s="12" t="s">
        <v>129</v>
      </c>
      <c r="C170" s="12" t="s">
        <v>141</v>
      </c>
      <c r="D170" s="52">
        <v>800</v>
      </c>
      <c r="E170" s="22">
        <f>3221.6+4462.5+1006.7</f>
        <v>8690.8000000000011</v>
      </c>
    </row>
    <row r="171" spans="1:5" ht="75">
      <c r="A171" s="35" t="s">
        <v>142</v>
      </c>
      <c r="B171" s="12" t="s">
        <v>129</v>
      </c>
      <c r="C171" s="12" t="s">
        <v>143</v>
      </c>
      <c r="D171" s="52"/>
      <c r="E171" s="22">
        <f>SUM(E172)</f>
        <v>24539.599999999999</v>
      </c>
    </row>
    <row r="172" spans="1:5">
      <c r="A172" s="36" t="s">
        <v>27</v>
      </c>
      <c r="B172" s="12" t="s">
        <v>129</v>
      </c>
      <c r="C172" s="12" t="s">
        <v>143</v>
      </c>
      <c r="D172" s="52">
        <v>800</v>
      </c>
      <c r="E172" s="22">
        <f>19096.5+5443.1</f>
        <v>24539.599999999999</v>
      </c>
    </row>
    <row r="173" spans="1:5" ht="30">
      <c r="A173" s="36" t="s">
        <v>144</v>
      </c>
      <c r="B173" s="12" t="s">
        <v>129</v>
      </c>
      <c r="C173" s="12" t="s">
        <v>145</v>
      </c>
      <c r="D173" s="52"/>
      <c r="E173" s="22">
        <f>SUM(E174)</f>
        <v>9232.6</v>
      </c>
    </row>
    <row r="174" spans="1:5" ht="30">
      <c r="A174" s="36" t="s">
        <v>26</v>
      </c>
      <c r="B174" s="12" t="s">
        <v>129</v>
      </c>
      <c r="C174" s="12" t="s">
        <v>145</v>
      </c>
      <c r="D174" s="52">
        <v>200</v>
      </c>
      <c r="E174" s="22">
        <f>10917-1684.4</f>
        <v>9232.6</v>
      </c>
    </row>
    <row r="175" spans="1:5">
      <c r="A175" s="38" t="s">
        <v>146</v>
      </c>
      <c r="B175" s="14" t="s">
        <v>147</v>
      </c>
      <c r="C175" s="14"/>
      <c r="D175" s="53"/>
      <c r="E175" s="26">
        <f>E176+E213</f>
        <v>672691.8</v>
      </c>
    </row>
    <row r="176" spans="1:5" ht="30">
      <c r="A176" s="35" t="s">
        <v>130</v>
      </c>
      <c r="B176" s="12" t="s">
        <v>147</v>
      </c>
      <c r="C176" s="12" t="s">
        <v>131</v>
      </c>
      <c r="D176" s="52"/>
      <c r="E176" s="22">
        <f>E177</f>
        <v>644015.9</v>
      </c>
    </row>
    <row r="177" spans="1:5" ht="45">
      <c r="A177" s="35" t="s">
        <v>148</v>
      </c>
      <c r="B177" s="12" t="s">
        <v>147</v>
      </c>
      <c r="C177" s="12" t="s">
        <v>149</v>
      </c>
      <c r="D177" s="52"/>
      <c r="E177" s="22">
        <f>E178+E180+E182+E184+E186+E198+E200+E202+E204+E210+E188+E190+E192+E206+E194+E196+E208</f>
        <v>644015.9</v>
      </c>
    </row>
    <row r="178" spans="1:5" ht="45" hidden="1">
      <c r="A178" s="35" t="s">
        <v>150</v>
      </c>
      <c r="B178" s="12" t="s">
        <v>147</v>
      </c>
      <c r="C178" s="12" t="s">
        <v>151</v>
      </c>
      <c r="D178" s="52"/>
      <c r="E178" s="22">
        <f>SUM(E179)</f>
        <v>0</v>
      </c>
    </row>
    <row r="179" spans="1:5" ht="30" hidden="1">
      <c r="A179" s="36" t="s">
        <v>126</v>
      </c>
      <c r="B179" s="12" t="s">
        <v>147</v>
      </c>
      <c r="C179" s="12" t="s">
        <v>151</v>
      </c>
      <c r="D179" s="52">
        <v>400</v>
      </c>
      <c r="E179" s="22">
        <f>5425-5425</f>
        <v>0</v>
      </c>
    </row>
    <row r="180" spans="1:5" ht="45">
      <c r="A180" s="36" t="s">
        <v>152</v>
      </c>
      <c r="B180" s="12" t="s">
        <v>147</v>
      </c>
      <c r="C180" s="12" t="s">
        <v>153</v>
      </c>
      <c r="D180" s="52"/>
      <c r="E180" s="22">
        <f>SUM(E181)</f>
        <v>3585.3</v>
      </c>
    </row>
    <row r="181" spans="1:5" ht="30">
      <c r="A181" s="36" t="s">
        <v>126</v>
      </c>
      <c r="B181" s="12" t="s">
        <v>147</v>
      </c>
      <c r="C181" s="12" t="s">
        <v>153</v>
      </c>
      <c r="D181" s="52">
        <v>400</v>
      </c>
      <c r="E181" s="22">
        <f>6200-2615+0.3</f>
        <v>3585.3</v>
      </c>
    </row>
    <row r="182" spans="1:5" ht="60">
      <c r="A182" s="36" t="s">
        <v>402</v>
      </c>
      <c r="B182" s="12" t="s">
        <v>147</v>
      </c>
      <c r="C182" s="12" t="s">
        <v>154</v>
      </c>
      <c r="D182" s="52"/>
      <c r="E182" s="22">
        <f>SUM(E183)</f>
        <v>1100</v>
      </c>
    </row>
    <row r="183" spans="1:5" ht="30">
      <c r="A183" s="36" t="s">
        <v>126</v>
      </c>
      <c r="B183" s="12" t="s">
        <v>147</v>
      </c>
      <c r="C183" s="12" t="s">
        <v>154</v>
      </c>
      <c r="D183" s="52">
        <v>400</v>
      </c>
      <c r="E183" s="22">
        <f>2790-1690</f>
        <v>1100</v>
      </c>
    </row>
    <row r="184" spans="1:5" ht="30">
      <c r="A184" s="36" t="s">
        <v>155</v>
      </c>
      <c r="B184" s="12" t="s">
        <v>147</v>
      </c>
      <c r="C184" s="12" t="s">
        <v>156</v>
      </c>
      <c r="D184" s="52"/>
      <c r="E184" s="22">
        <f>SUM(E185)</f>
        <v>4093.9</v>
      </c>
    </row>
    <row r="185" spans="1:5" ht="30">
      <c r="A185" s="36" t="s">
        <v>26</v>
      </c>
      <c r="B185" s="12" t="s">
        <v>147</v>
      </c>
      <c r="C185" s="12" t="s">
        <v>156</v>
      </c>
      <c r="D185" s="52">
        <v>200</v>
      </c>
      <c r="E185" s="22">
        <f>3177.5+916.4</f>
        <v>4093.9</v>
      </c>
    </row>
    <row r="186" spans="1:5" ht="30">
      <c r="A186" s="36" t="s">
        <v>157</v>
      </c>
      <c r="B186" s="12" t="s">
        <v>147</v>
      </c>
      <c r="C186" s="12" t="s">
        <v>158</v>
      </c>
      <c r="D186" s="52"/>
      <c r="E186" s="22">
        <f>SUM(E187)</f>
        <v>12370</v>
      </c>
    </row>
    <row r="187" spans="1:5" ht="30">
      <c r="A187" s="36" t="s">
        <v>26</v>
      </c>
      <c r="B187" s="12" t="s">
        <v>147</v>
      </c>
      <c r="C187" s="12" t="s">
        <v>158</v>
      </c>
      <c r="D187" s="52">
        <v>200</v>
      </c>
      <c r="E187" s="22">
        <f>5696.2+6673.8</f>
        <v>12370</v>
      </c>
    </row>
    <row r="188" spans="1:5" ht="45">
      <c r="A188" s="55" t="s">
        <v>433</v>
      </c>
      <c r="B188" s="12" t="s">
        <v>147</v>
      </c>
      <c r="C188" s="12" t="s">
        <v>436</v>
      </c>
      <c r="D188" s="52"/>
      <c r="E188" s="22">
        <f>E189</f>
        <v>10309.600000000002</v>
      </c>
    </row>
    <row r="189" spans="1:5" ht="30">
      <c r="A189" s="55" t="s">
        <v>126</v>
      </c>
      <c r="B189" s="12" t="s">
        <v>147</v>
      </c>
      <c r="C189" s="12" t="s">
        <v>436</v>
      </c>
      <c r="D189" s="52">
        <v>400</v>
      </c>
      <c r="E189" s="22">
        <f>866.4+9843.2-380.3-19.8+0.1</f>
        <v>10309.600000000002</v>
      </c>
    </row>
    <row r="190" spans="1:5" ht="54.75">
      <c r="A190" s="57" t="s">
        <v>434</v>
      </c>
      <c r="B190" s="12" t="s">
        <v>147</v>
      </c>
      <c r="C190" s="12" t="s">
        <v>437</v>
      </c>
      <c r="D190" s="52"/>
      <c r="E190" s="22">
        <f>E191</f>
        <v>705.9</v>
      </c>
    </row>
    <row r="191" spans="1:5" ht="30">
      <c r="A191" s="55" t="s">
        <v>126</v>
      </c>
      <c r="B191" s="12" t="s">
        <v>147</v>
      </c>
      <c r="C191" s="12" t="s">
        <v>437</v>
      </c>
      <c r="D191" s="52">
        <v>400</v>
      </c>
      <c r="E191" s="22">
        <f>318.6+271+116.4-0.1</f>
        <v>705.9</v>
      </c>
    </row>
    <row r="192" spans="1:5" ht="54.75">
      <c r="A192" s="57" t="s">
        <v>435</v>
      </c>
      <c r="B192" s="12" t="s">
        <v>147</v>
      </c>
      <c r="C192" s="12" t="s">
        <v>438</v>
      </c>
      <c r="D192" s="52"/>
      <c r="E192" s="22">
        <f>E193</f>
        <v>548.4</v>
      </c>
    </row>
    <row r="193" spans="1:5" ht="30">
      <c r="A193" s="55" t="s">
        <v>126</v>
      </c>
      <c r="B193" s="12" t="s">
        <v>147</v>
      </c>
      <c r="C193" s="12" t="s">
        <v>438</v>
      </c>
      <c r="D193" s="52">
        <v>400</v>
      </c>
      <c r="E193" s="22">
        <f>405.5+75.2+67.8-0.1</f>
        <v>548.4</v>
      </c>
    </row>
    <row r="194" spans="1:5" ht="45">
      <c r="A194" s="36" t="s">
        <v>498</v>
      </c>
      <c r="B194" s="12" t="s">
        <v>147</v>
      </c>
      <c r="C194" s="12" t="s">
        <v>467</v>
      </c>
      <c r="D194" s="52"/>
      <c r="E194" s="22">
        <f>E195</f>
        <v>273.7</v>
      </c>
    </row>
    <row r="195" spans="1:5" ht="30">
      <c r="A195" s="55" t="s">
        <v>126</v>
      </c>
      <c r="B195" s="12" t="s">
        <v>147</v>
      </c>
      <c r="C195" s="12" t="s">
        <v>467</v>
      </c>
      <c r="D195" s="52">
        <v>400</v>
      </c>
      <c r="E195" s="22">
        <f>275.7-2</f>
        <v>273.7</v>
      </c>
    </row>
    <row r="196" spans="1:5" ht="45" hidden="1">
      <c r="A196" s="36" t="s">
        <v>499</v>
      </c>
      <c r="B196" s="12" t="s">
        <v>147</v>
      </c>
      <c r="C196" s="12" t="s">
        <v>468</v>
      </c>
      <c r="D196" s="52"/>
      <c r="E196" s="22">
        <f>E197</f>
        <v>0</v>
      </c>
    </row>
    <row r="197" spans="1:5" ht="30" hidden="1">
      <c r="A197" s="55" t="s">
        <v>126</v>
      </c>
      <c r="B197" s="12" t="s">
        <v>147</v>
      </c>
      <c r="C197" s="12" t="s">
        <v>468</v>
      </c>
      <c r="D197" s="52">
        <v>400</v>
      </c>
      <c r="E197" s="22">
        <f>9843.2-9843.2</f>
        <v>0</v>
      </c>
    </row>
    <row r="198" spans="1:5" ht="45">
      <c r="A198" s="59" t="s">
        <v>466</v>
      </c>
      <c r="B198" s="12" t="s">
        <v>147</v>
      </c>
      <c r="C198" s="12" t="s">
        <v>159</v>
      </c>
      <c r="D198" s="52"/>
      <c r="E198" s="22">
        <f>SUM(E199)</f>
        <v>45288</v>
      </c>
    </row>
    <row r="199" spans="1:5">
      <c r="A199" s="36" t="s">
        <v>27</v>
      </c>
      <c r="B199" s="12" t="s">
        <v>147</v>
      </c>
      <c r="C199" s="12" t="s">
        <v>159</v>
      </c>
      <c r="D199" s="52">
        <v>800</v>
      </c>
      <c r="E199" s="22">
        <f>32154.2+13133.9-0.1</f>
        <v>45288</v>
      </c>
    </row>
    <row r="200" spans="1:5" ht="45">
      <c r="A200" s="35" t="s">
        <v>160</v>
      </c>
      <c r="B200" s="12" t="s">
        <v>147</v>
      </c>
      <c r="C200" s="12" t="s">
        <v>161</v>
      </c>
      <c r="D200" s="52"/>
      <c r="E200" s="22">
        <f>SUM(E201)</f>
        <v>34506.6</v>
      </c>
    </row>
    <row r="201" spans="1:5">
      <c r="A201" s="36" t="s">
        <v>27</v>
      </c>
      <c r="B201" s="12" t="s">
        <v>147</v>
      </c>
      <c r="C201" s="12" t="s">
        <v>161</v>
      </c>
      <c r="D201" s="52">
        <v>800</v>
      </c>
      <c r="E201" s="22">
        <f>36337.4-1830.8</f>
        <v>34506.6</v>
      </c>
    </row>
    <row r="202" spans="1:5">
      <c r="A202" s="35" t="s">
        <v>162</v>
      </c>
      <c r="B202" s="12" t="s">
        <v>147</v>
      </c>
      <c r="C202" s="12" t="s">
        <v>163</v>
      </c>
      <c r="D202" s="52"/>
      <c r="E202" s="22">
        <f>SUM(E203)</f>
        <v>11974.900000000001</v>
      </c>
    </row>
    <row r="203" spans="1:5" ht="30">
      <c r="A203" s="36" t="s">
        <v>26</v>
      </c>
      <c r="B203" s="12" t="s">
        <v>147</v>
      </c>
      <c r="C203" s="12" t="s">
        <v>163</v>
      </c>
      <c r="D203" s="52">
        <v>200</v>
      </c>
      <c r="E203" s="22">
        <f>22946-724.1-10465.1+218.1</f>
        <v>11974.900000000001</v>
      </c>
    </row>
    <row r="204" spans="1:5" ht="60">
      <c r="A204" s="35" t="s">
        <v>164</v>
      </c>
      <c r="B204" s="12" t="s">
        <v>147</v>
      </c>
      <c r="C204" s="12" t="s">
        <v>165</v>
      </c>
      <c r="D204" s="52"/>
      <c r="E204" s="22">
        <f>SUM(E205)</f>
        <v>2071.9</v>
      </c>
    </row>
    <row r="205" spans="1:5">
      <c r="A205" s="36" t="s">
        <v>27</v>
      </c>
      <c r="B205" s="12" t="s">
        <v>147</v>
      </c>
      <c r="C205" s="12" t="s">
        <v>165</v>
      </c>
      <c r="D205" s="52">
        <v>800</v>
      </c>
      <c r="E205" s="22">
        <f>387.5+1684.4</f>
        <v>2071.9</v>
      </c>
    </row>
    <row r="206" spans="1:5" ht="45">
      <c r="A206" s="35" t="s">
        <v>463</v>
      </c>
      <c r="B206" s="12" t="s">
        <v>147</v>
      </c>
      <c r="C206" s="12" t="s">
        <v>464</v>
      </c>
      <c r="D206" s="52"/>
      <c r="E206" s="22">
        <f>E207</f>
        <v>226467.90000000002</v>
      </c>
    </row>
    <row r="207" spans="1:5">
      <c r="A207" s="36" t="s">
        <v>27</v>
      </c>
      <c r="B207" s="12" t="s">
        <v>147</v>
      </c>
      <c r="C207" s="12" t="s">
        <v>464</v>
      </c>
      <c r="D207" s="52">
        <v>800</v>
      </c>
      <c r="E207" s="22">
        <f>221601.7-4777.1+4777.1+10000-5133.9+0.1</f>
        <v>226467.90000000002</v>
      </c>
    </row>
    <row r="208" spans="1:5" ht="45">
      <c r="A208" s="36" t="s">
        <v>537</v>
      </c>
      <c r="B208" s="12" t="s">
        <v>147</v>
      </c>
      <c r="C208" s="12" t="s">
        <v>538</v>
      </c>
      <c r="D208" s="52"/>
      <c r="E208" s="22">
        <f>E209</f>
        <v>1830.8</v>
      </c>
    </row>
    <row r="209" spans="1:5">
      <c r="A209" s="36" t="s">
        <v>27</v>
      </c>
      <c r="B209" s="12" t="s">
        <v>147</v>
      </c>
      <c r="C209" s="12" t="s">
        <v>538</v>
      </c>
      <c r="D209" s="52">
        <v>800</v>
      </c>
      <c r="E209" s="22">
        <v>1830.8</v>
      </c>
    </row>
    <row r="210" spans="1:5" ht="150">
      <c r="A210" s="68" t="s">
        <v>461</v>
      </c>
      <c r="B210" s="12" t="s">
        <v>147</v>
      </c>
      <c r="C210" s="12" t="s">
        <v>415</v>
      </c>
      <c r="D210" s="52"/>
      <c r="E210" s="22">
        <f>E211+E212</f>
        <v>288889</v>
      </c>
    </row>
    <row r="211" spans="1:5" ht="30">
      <c r="A211" s="55" t="s">
        <v>26</v>
      </c>
      <c r="B211" s="12" t="s">
        <v>147</v>
      </c>
      <c r="C211" s="12" t="s">
        <v>415</v>
      </c>
      <c r="D211" s="52">
        <v>200</v>
      </c>
      <c r="E211" s="22">
        <f>226698.2+0.1+4144.5</f>
        <v>230842.80000000002</v>
      </c>
    </row>
    <row r="212" spans="1:5" ht="30">
      <c r="A212" s="55" t="s">
        <v>126</v>
      </c>
      <c r="B212" s="12" t="s">
        <v>147</v>
      </c>
      <c r="C212" s="12" t="s">
        <v>415</v>
      </c>
      <c r="D212" s="52">
        <v>400</v>
      </c>
      <c r="E212" s="22">
        <f>62190.7-4144.5</f>
        <v>58046.2</v>
      </c>
    </row>
    <row r="213" spans="1:5" ht="60">
      <c r="A213" s="36" t="s">
        <v>166</v>
      </c>
      <c r="B213" s="12" t="s">
        <v>147</v>
      </c>
      <c r="C213" s="12" t="s">
        <v>68</v>
      </c>
      <c r="D213" s="52"/>
      <c r="E213" s="22">
        <f>SUM(E214)</f>
        <v>28675.9</v>
      </c>
    </row>
    <row r="214" spans="1:5" ht="30">
      <c r="A214" s="36" t="s">
        <v>167</v>
      </c>
      <c r="B214" s="12" t="s">
        <v>147</v>
      </c>
      <c r="C214" s="12" t="s">
        <v>168</v>
      </c>
      <c r="D214" s="52"/>
      <c r="E214" s="22">
        <f>SUM(E215)</f>
        <v>28675.9</v>
      </c>
    </row>
    <row r="215" spans="1:5" ht="45">
      <c r="A215" s="36" t="s">
        <v>169</v>
      </c>
      <c r="B215" s="12" t="s">
        <v>147</v>
      </c>
      <c r="C215" s="12" t="s">
        <v>170</v>
      </c>
      <c r="D215" s="52"/>
      <c r="E215" s="22">
        <f>SUM(E216)</f>
        <v>28675.9</v>
      </c>
    </row>
    <row r="216" spans="1:5" ht="30">
      <c r="A216" s="36" t="s">
        <v>26</v>
      </c>
      <c r="B216" s="12" t="s">
        <v>147</v>
      </c>
      <c r="C216" s="12" t="s">
        <v>170</v>
      </c>
      <c r="D216" s="52">
        <v>200</v>
      </c>
      <c r="E216" s="22">
        <f>30000-28675.9+28675.9-1324.1</f>
        <v>28675.9</v>
      </c>
    </row>
    <row r="217" spans="1:5">
      <c r="A217" s="38" t="s">
        <v>171</v>
      </c>
      <c r="B217" s="14" t="s">
        <v>172</v>
      </c>
      <c r="C217" s="14"/>
      <c r="D217" s="53"/>
      <c r="E217" s="26">
        <f>SUM(E257+E218)</f>
        <v>272048.69999999995</v>
      </c>
    </row>
    <row r="218" spans="1:5" ht="30">
      <c r="A218" s="35" t="s">
        <v>173</v>
      </c>
      <c r="B218" s="12" t="s">
        <v>172</v>
      </c>
      <c r="C218" s="12" t="s">
        <v>174</v>
      </c>
      <c r="D218" s="52"/>
      <c r="E218" s="22">
        <f>SUM(E219+E236)</f>
        <v>265269.59999999998</v>
      </c>
    </row>
    <row r="219" spans="1:5">
      <c r="A219" s="35" t="s">
        <v>175</v>
      </c>
      <c r="B219" s="12" t="s">
        <v>172</v>
      </c>
      <c r="C219" s="12" t="s">
        <v>176</v>
      </c>
      <c r="D219" s="52"/>
      <c r="E219" s="22">
        <f>SUM(E220+E222+E224+E226+E228+E232)+E230+E234</f>
        <v>223977.9</v>
      </c>
    </row>
    <row r="220" spans="1:5" ht="45">
      <c r="A220" s="35" t="s">
        <v>177</v>
      </c>
      <c r="B220" s="12" t="s">
        <v>172</v>
      </c>
      <c r="C220" s="12" t="s">
        <v>178</v>
      </c>
      <c r="D220" s="52"/>
      <c r="E220" s="22">
        <f>SUM(E221)</f>
        <v>5635.9</v>
      </c>
    </row>
    <row r="221" spans="1:5" ht="30">
      <c r="A221" s="36" t="s">
        <v>126</v>
      </c>
      <c r="B221" s="12" t="s">
        <v>172</v>
      </c>
      <c r="C221" s="12" t="s">
        <v>178</v>
      </c>
      <c r="D221" s="52">
        <v>400</v>
      </c>
      <c r="E221" s="22">
        <f>4789.5-4124.5+4970.9</f>
        <v>5635.9</v>
      </c>
    </row>
    <row r="222" spans="1:5" ht="45">
      <c r="A222" s="36" t="s">
        <v>179</v>
      </c>
      <c r="B222" s="12" t="s">
        <v>172</v>
      </c>
      <c r="C222" s="12" t="s">
        <v>180</v>
      </c>
      <c r="D222" s="52"/>
      <c r="E222" s="22">
        <f>SUM(E223)</f>
        <v>1301.5</v>
      </c>
    </row>
    <row r="223" spans="1:5" ht="30">
      <c r="A223" s="36" t="s">
        <v>126</v>
      </c>
      <c r="B223" s="12" t="s">
        <v>172</v>
      </c>
      <c r="C223" s="12" t="s">
        <v>180</v>
      </c>
      <c r="D223" s="52">
        <v>400</v>
      </c>
      <c r="E223" s="22">
        <f>407.7+492.3+296.8+104.7</f>
        <v>1301.5</v>
      </c>
    </row>
    <row r="224" spans="1:5" ht="30" hidden="1">
      <c r="A224" s="36" t="s">
        <v>459</v>
      </c>
      <c r="B224" s="12" t="s">
        <v>172</v>
      </c>
      <c r="C224" s="12" t="s">
        <v>181</v>
      </c>
      <c r="D224" s="52"/>
      <c r="E224" s="22">
        <f>SUM(E225)</f>
        <v>0</v>
      </c>
    </row>
    <row r="225" spans="1:5" ht="30" hidden="1">
      <c r="A225" s="36" t="s">
        <v>126</v>
      </c>
      <c r="B225" s="12" t="s">
        <v>172</v>
      </c>
      <c r="C225" s="12" t="s">
        <v>181</v>
      </c>
      <c r="D225" s="52">
        <v>400</v>
      </c>
      <c r="E225" s="22">
        <f>100.8+90-190.8</f>
        <v>0</v>
      </c>
    </row>
    <row r="226" spans="1:5" ht="30" hidden="1">
      <c r="A226" s="36" t="s">
        <v>182</v>
      </c>
      <c r="B226" s="12" t="s">
        <v>172</v>
      </c>
      <c r="C226" s="12" t="s">
        <v>183</v>
      </c>
      <c r="D226" s="52"/>
      <c r="E226" s="22">
        <f>SUM(E227)</f>
        <v>0</v>
      </c>
    </row>
    <row r="227" spans="1:5" ht="30" hidden="1">
      <c r="A227" s="36" t="s">
        <v>126</v>
      </c>
      <c r="B227" s="12" t="s">
        <v>172</v>
      </c>
      <c r="C227" s="12" t="s">
        <v>183</v>
      </c>
      <c r="D227" s="52">
        <v>400</v>
      </c>
      <c r="E227" s="22">
        <f>67.2-67.2</f>
        <v>0</v>
      </c>
    </row>
    <row r="228" spans="1:5" ht="30" hidden="1">
      <c r="A228" s="36" t="s">
        <v>184</v>
      </c>
      <c r="B228" s="12" t="s">
        <v>172</v>
      </c>
      <c r="C228" s="12" t="s">
        <v>185</v>
      </c>
      <c r="D228" s="52"/>
      <c r="E228" s="22">
        <f>SUM(E229)</f>
        <v>0</v>
      </c>
    </row>
    <row r="229" spans="1:5" ht="30" hidden="1">
      <c r="A229" s="36" t="s">
        <v>126</v>
      </c>
      <c r="B229" s="12" t="s">
        <v>172</v>
      </c>
      <c r="C229" s="12" t="s">
        <v>185</v>
      </c>
      <c r="D229" s="52">
        <v>400</v>
      </c>
      <c r="E229" s="22">
        <f>2374.6-2374.6</f>
        <v>0</v>
      </c>
    </row>
    <row r="230" spans="1:5" ht="30" hidden="1">
      <c r="A230" s="36" t="s">
        <v>518</v>
      </c>
      <c r="B230" s="12" t="s">
        <v>172</v>
      </c>
      <c r="C230" s="12" t="s">
        <v>519</v>
      </c>
      <c r="D230" s="52"/>
      <c r="E230" s="22">
        <f>E231</f>
        <v>0</v>
      </c>
    </row>
    <row r="231" spans="1:5" ht="30" hidden="1">
      <c r="A231" s="36" t="s">
        <v>126</v>
      </c>
      <c r="B231" s="12" t="s">
        <v>172</v>
      </c>
      <c r="C231" s="12" t="s">
        <v>519</v>
      </c>
      <c r="D231" s="52">
        <v>400</v>
      </c>
      <c r="E231" s="22">
        <f>99-99</f>
        <v>0</v>
      </c>
    </row>
    <row r="232" spans="1:5" ht="105">
      <c r="A232" s="68" t="s">
        <v>484</v>
      </c>
      <c r="B232" s="12" t="s">
        <v>172</v>
      </c>
      <c r="C232" s="12" t="s">
        <v>485</v>
      </c>
      <c r="D232" s="52"/>
      <c r="E232" s="22">
        <f>SUM(E233)</f>
        <v>204138.5</v>
      </c>
    </row>
    <row r="233" spans="1:5" ht="30">
      <c r="A233" s="36" t="s">
        <v>126</v>
      </c>
      <c r="B233" s="12" t="s">
        <v>172</v>
      </c>
      <c r="C233" s="12" t="s">
        <v>485</v>
      </c>
      <c r="D233" s="52">
        <v>400</v>
      </c>
      <c r="E233" s="63">
        <v>204138.5</v>
      </c>
    </row>
    <row r="234" spans="1:5" ht="117" customHeight="1">
      <c r="A234" s="69" t="s">
        <v>484</v>
      </c>
      <c r="B234" s="12" t="s">
        <v>172</v>
      </c>
      <c r="C234" s="52" t="s">
        <v>520</v>
      </c>
      <c r="D234" s="52"/>
      <c r="E234" s="63">
        <f>E235</f>
        <v>12902</v>
      </c>
    </row>
    <row r="235" spans="1:5" ht="30">
      <c r="A235" s="36" t="s">
        <v>126</v>
      </c>
      <c r="B235" s="12" t="s">
        <v>172</v>
      </c>
      <c r="C235" s="52" t="s">
        <v>520</v>
      </c>
      <c r="D235" s="52">
        <v>400</v>
      </c>
      <c r="E235" s="63">
        <f>11902+1000</f>
        <v>12902</v>
      </c>
    </row>
    <row r="236" spans="1:5" ht="30">
      <c r="A236" s="36" t="s">
        <v>186</v>
      </c>
      <c r="B236" s="12" t="s">
        <v>172</v>
      </c>
      <c r="C236" s="12" t="s">
        <v>187</v>
      </c>
      <c r="D236" s="52"/>
      <c r="E236" s="22">
        <f>SUM(E237+E239+E243+E249)+E241+E245+E247+E255+E251+E253</f>
        <v>41291.699999999997</v>
      </c>
    </row>
    <row r="237" spans="1:5" ht="30" hidden="1">
      <c r="A237" s="36" t="s">
        <v>188</v>
      </c>
      <c r="B237" s="12" t="s">
        <v>172</v>
      </c>
      <c r="C237" s="12" t="s">
        <v>189</v>
      </c>
      <c r="D237" s="52"/>
      <c r="E237" s="22">
        <f>SUM(E238)</f>
        <v>0</v>
      </c>
    </row>
    <row r="238" spans="1:5" ht="30" hidden="1">
      <c r="A238" s="36" t="s">
        <v>77</v>
      </c>
      <c r="B238" s="12" t="s">
        <v>172</v>
      </c>
      <c r="C238" s="12" t="s">
        <v>189</v>
      </c>
      <c r="D238" s="52">
        <v>600</v>
      </c>
      <c r="E238" s="22">
        <f>379.8-379.8</f>
        <v>0</v>
      </c>
    </row>
    <row r="239" spans="1:5" ht="45">
      <c r="A239" s="36" t="s">
        <v>190</v>
      </c>
      <c r="B239" s="12" t="s">
        <v>172</v>
      </c>
      <c r="C239" s="12" t="s">
        <v>191</v>
      </c>
      <c r="D239" s="52"/>
      <c r="E239" s="22">
        <f>SUM(E240)</f>
        <v>474.49999999999994</v>
      </c>
    </row>
    <row r="240" spans="1:5" ht="30">
      <c r="A240" s="36" t="s">
        <v>26</v>
      </c>
      <c r="B240" s="12" t="s">
        <v>172</v>
      </c>
      <c r="C240" s="12" t="s">
        <v>191</v>
      </c>
      <c r="D240" s="52">
        <v>200</v>
      </c>
      <c r="E240" s="22">
        <f>286.8+468-280.3</f>
        <v>474.49999999999994</v>
      </c>
    </row>
    <row r="241" spans="1:5">
      <c r="A241" s="36" t="s">
        <v>192</v>
      </c>
      <c r="B241" s="12" t="s">
        <v>172</v>
      </c>
      <c r="C241" s="12" t="s">
        <v>193</v>
      </c>
      <c r="D241" s="52"/>
      <c r="E241" s="22">
        <f>SUM(E242)</f>
        <v>1968.1999999999998</v>
      </c>
    </row>
    <row r="242" spans="1:5" ht="30">
      <c r="A242" s="36" t="s">
        <v>126</v>
      </c>
      <c r="B242" s="12" t="s">
        <v>172</v>
      </c>
      <c r="C242" s="12" t="s">
        <v>193</v>
      </c>
      <c r="D242" s="52">
        <v>400</v>
      </c>
      <c r="E242" s="22">
        <f>1782.5+185.7+2040-1968.2-71.8</f>
        <v>1968.1999999999998</v>
      </c>
    </row>
    <row r="243" spans="1:5" ht="150">
      <c r="A243" s="72" t="s">
        <v>555</v>
      </c>
      <c r="B243" s="13" t="s">
        <v>172</v>
      </c>
      <c r="C243" s="13" t="s">
        <v>543</v>
      </c>
      <c r="D243" s="13"/>
      <c r="E243" s="22">
        <f t="shared" ref="E243" si="0">SUM(E244)</f>
        <v>35016.699999999997</v>
      </c>
    </row>
    <row r="244" spans="1:5">
      <c r="A244" s="33" t="s">
        <v>27</v>
      </c>
      <c r="B244" s="13" t="s">
        <v>172</v>
      </c>
      <c r="C244" s="13" t="s">
        <v>543</v>
      </c>
      <c r="D244" s="13" t="s">
        <v>194</v>
      </c>
      <c r="E244" s="22">
        <v>35016.699999999997</v>
      </c>
    </row>
    <row r="245" spans="1:5" ht="30" hidden="1">
      <c r="A245" s="36" t="s">
        <v>541</v>
      </c>
      <c r="B245" s="12" t="s">
        <v>172</v>
      </c>
      <c r="C245" s="12" t="s">
        <v>195</v>
      </c>
      <c r="D245" s="52"/>
      <c r="E245" s="22">
        <f>SUM(E246)</f>
        <v>0</v>
      </c>
    </row>
    <row r="246" spans="1:5" hidden="1">
      <c r="A246" s="36" t="s">
        <v>27</v>
      </c>
      <c r="B246" s="12" t="s">
        <v>172</v>
      </c>
      <c r="C246" s="12" t="s">
        <v>195</v>
      </c>
      <c r="D246" s="52">
        <v>800</v>
      </c>
      <c r="E246" s="73">
        <f>387.5+644.5-1032</f>
        <v>0</v>
      </c>
    </row>
    <row r="247" spans="1:5" ht="60">
      <c r="A247" s="36" t="s">
        <v>531</v>
      </c>
      <c r="B247" s="12" t="s">
        <v>172</v>
      </c>
      <c r="C247" s="12" t="s">
        <v>196</v>
      </c>
      <c r="D247" s="52"/>
      <c r="E247" s="22">
        <f>SUM(E248)</f>
        <v>1799.3</v>
      </c>
    </row>
    <row r="248" spans="1:5">
      <c r="A248" s="36" t="s">
        <v>27</v>
      </c>
      <c r="B248" s="12" t="s">
        <v>172</v>
      </c>
      <c r="C248" s="12" t="s">
        <v>196</v>
      </c>
      <c r="D248" s="52">
        <v>800</v>
      </c>
      <c r="E248" s="22">
        <f>387.5+1411.8</f>
        <v>1799.3</v>
      </c>
    </row>
    <row r="249" spans="1:5" ht="60" hidden="1">
      <c r="A249" s="36" t="s">
        <v>197</v>
      </c>
      <c r="B249" s="12" t="s">
        <v>172</v>
      </c>
      <c r="C249" s="12" t="s">
        <v>198</v>
      </c>
      <c r="D249" s="52"/>
      <c r="E249" s="22">
        <f>SUM(E250)</f>
        <v>0</v>
      </c>
    </row>
    <row r="250" spans="1:5" hidden="1">
      <c r="A250" s="36" t="s">
        <v>27</v>
      </c>
      <c r="B250" s="12" t="s">
        <v>172</v>
      </c>
      <c r="C250" s="12" t="s">
        <v>198</v>
      </c>
      <c r="D250" s="52">
        <v>800</v>
      </c>
      <c r="E250" s="22">
        <f>209.2-209.2</f>
        <v>0</v>
      </c>
    </row>
    <row r="251" spans="1:5" ht="114.75" hidden="1" customHeight="1">
      <c r="A251" s="42" t="s">
        <v>527</v>
      </c>
      <c r="B251" s="12" t="s">
        <v>172</v>
      </c>
      <c r="C251" s="12" t="s">
        <v>521</v>
      </c>
      <c r="D251" s="52"/>
      <c r="E251" s="22">
        <f>E252</f>
        <v>0</v>
      </c>
    </row>
    <row r="252" spans="1:5" hidden="1">
      <c r="A252" s="36" t="s">
        <v>27</v>
      </c>
      <c r="B252" s="12" t="s">
        <v>172</v>
      </c>
      <c r="C252" s="12" t="s">
        <v>521</v>
      </c>
      <c r="D252" s="52">
        <v>800</v>
      </c>
      <c r="E252" s="73">
        <f>189.9-189.9</f>
        <v>0</v>
      </c>
    </row>
    <row r="253" spans="1:5" ht="90" hidden="1">
      <c r="A253" s="36" t="s">
        <v>528</v>
      </c>
      <c r="B253" s="12" t="s">
        <v>172</v>
      </c>
      <c r="C253" s="12" t="s">
        <v>522</v>
      </c>
      <c r="D253" s="52"/>
      <c r="E253" s="22">
        <f>E254</f>
        <v>0</v>
      </c>
    </row>
    <row r="254" spans="1:5" hidden="1">
      <c r="A254" s="36" t="s">
        <v>27</v>
      </c>
      <c r="B254" s="12" t="s">
        <v>172</v>
      </c>
      <c r="C254" s="12" t="s">
        <v>522</v>
      </c>
      <c r="D254" s="52">
        <v>800</v>
      </c>
      <c r="E254" s="73">
        <f>189.9-189.9</f>
        <v>0</v>
      </c>
    </row>
    <row r="255" spans="1:5" ht="150">
      <c r="A255" s="68" t="s">
        <v>462</v>
      </c>
      <c r="B255" s="12" t="s">
        <v>172</v>
      </c>
      <c r="C255" s="12" t="s">
        <v>416</v>
      </c>
      <c r="D255" s="52"/>
      <c r="E255" s="22">
        <f>E256</f>
        <v>2033</v>
      </c>
    </row>
    <row r="256" spans="1:5">
      <c r="A256" s="55" t="s">
        <v>27</v>
      </c>
      <c r="B256" s="12" t="s">
        <v>172</v>
      </c>
      <c r="C256" s="12" t="s">
        <v>416</v>
      </c>
      <c r="D256" s="52">
        <v>800</v>
      </c>
      <c r="E256" s="22">
        <f>190+1843</f>
        <v>2033</v>
      </c>
    </row>
    <row r="257" spans="1:5" ht="60">
      <c r="A257" s="35" t="s">
        <v>399</v>
      </c>
      <c r="B257" s="12" t="s">
        <v>172</v>
      </c>
      <c r="C257" s="12" t="s">
        <v>199</v>
      </c>
      <c r="D257" s="52"/>
      <c r="E257" s="22">
        <f>SUM(E258+E260)</f>
        <v>6779.0999999999995</v>
      </c>
    </row>
    <row r="258" spans="1:5" ht="30">
      <c r="A258" s="35" t="s">
        <v>558</v>
      </c>
      <c r="B258" s="12" t="s">
        <v>172</v>
      </c>
      <c r="C258" s="12" t="s">
        <v>200</v>
      </c>
      <c r="D258" s="52"/>
      <c r="E258" s="22">
        <f>SUM(E259)</f>
        <v>3860.1000000000004</v>
      </c>
    </row>
    <row r="259" spans="1:5" ht="30">
      <c r="A259" s="36" t="s">
        <v>26</v>
      </c>
      <c r="B259" s="12" t="s">
        <v>172</v>
      </c>
      <c r="C259" s="12" t="s">
        <v>200</v>
      </c>
      <c r="D259" s="52">
        <v>200</v>
      </c>
      <c r="E259" s="22">
        <f>7495.1-852.5-2634-148.5</f>
        <v>3860.1000000000004</v>
      </c>
    </row>
    <row r="260" spans="1:5">
      <c r="A260" s="55" t="s">
        <v>408</v>
      </c>
      <c r="B260" s="12" t="s">
        <v>172</v>
      </c>
      <c r="C260" s="12" t="s">
        <v>409</v>
      </c>
      <c r="D260" s="12"/>
      <c r="E260" s="22">
        <f>SUM(E261)</f>
        <v>2918.9999999999991</v>
      </c>
    </row>
    <row r="261" spans="1:5" ht="30">
      <c r="A261" s="55" t="s">
        <v>26</v>
      </c>
      <c r="B261" s="12" t="s">
        <v>172</v>
      </c>
      <c r="C261" s="12" t="s">
        <v>409</v>
      </c>
      <c r="D261" s="12" t="s">
        <v>39</v>
      </c>
      <c r="E261" s="22">
        <f>9200+547.3-4946-1062-820.3</f>
        <v>2918.9999999999991</v>
      </c>
    </row>
    <row r="262" spans="1:5">
      <c r="A262" s="38" t="s">
        <v>201</v>
      </c>
      <c r="B262" s="14" t="s">
        <v>202</v>
      </c>
      <c r="C262" s="71"/>
      <c r="D262" s="14"/>
      <c r="E262" s="27">
        <f>E263+E308+E379+E397</f>
        <v>1147323.6000000001</v>
      </c>
    </row>
    <row r="263" spans="1:5">
      <c r="A263" s="38" t="s">
        <v>203</v>
      </c>
      <c r="B263" s="14" t="s">
        <v>204</v>
      </c>
      <c r="C263" s="71"/>
      <c r="D263" s="14"/>
      <c r="E263" s="27">
        <f>E278+E289+E264+E300</f>
        <v>157409.9</v>
      </c>
    </row>
    <row r="264" spans="1:5">
      <c r="A264" s="54" t="s">
        <v>16</v>
      </c>
      <c r="B264" s="12" t="s">
        <v>204</v>
      </c>
      <c r="C264" s="12" t="s">
        <v>17</v>
      </c>
      <c r="D264" s="52"/>
      <c r="E264" s="56">
        <f>E265+E273+E2452+E269+E267+E271</f>
        <v>112355.3</v>
      </c>
    </row>
    <row r="265" spans="1:5">
      <c r="A265" s="54" t="s">
        <v>48</v>
      </c>
      <c r="B265" s="12" t="s">
        <v>204</v>
      </c>
      <c r="C265" s="12" t="s">
        <v>49</v>
      </c>
      <c r="D265" s="52"/>
      <c r="E265" s="56">
        <f>E266</f>
        <v>8680.7000000000007</v>
      </c>
    </row>
    <row r="266" spans="1:5" ht="30">
      <c r="A266" s="55" t="s">
        <v>26</v>
      </c>
      <c r="B266" s="12" t="s">
        <v>204</v>
      </c>
      <c r="C266" s="12" t="s">
        <v>49</v>
      </c>
      <c r="D266" s="52">
        <v>200</v>
      </c>
      <c r="E266" s="56">
        <f>8260.5+257.6+48.1+202.1-87.6</f>
        <v>8680.7000000000007</v>
      </c>
    </row>
    <row r="267" spans="1:5" ht="30">
      <c r="A267" s="35" t="s">
        <v>509</v>
      </c>
      <c r="B267" s="12" t="s">
        <v>204</v>
      </c>
      <c r="C267" s="12" t="s">
        <v>481</v>
      </c>
      <c r="D267" s="52"/>
      <c r="E267" s="56">
        <f>E268</f>
        <v>3077.2</v>
      </c>
    </row>
    <row r="268" spans="1:5" ht="30">
      <c r="A268" s="36" t="s">
        <v>26</v>
      </c>
      <c r="B268" s="12" t="s">
        <v>204</v>
      </c>
      <c r="C268" s="12" t="s">
        <v>481</v>
      </c>
      <c r="D268" s="52">
        <v>200</v>
      </c>
      <c r="E268" s="56">
        <f>6500-2062.3-1360.5</f>
        <v>3077.2</v>
      </c>
    </row>
    <row r="269" spans="1:5" ht="45">
      <c r="A269" s="35" t="s">
        <v>510</v>
      </c>
      <c r="B269" s="12" t="s">
        <v>204</v>
      </c>
      <c r="C269" s="12" t="s">
        <v>511</v>
      </c>
      <c r="D269" s="52"/>
      <c r="E269" s="63">
        <v>2000</v>
      </c>
    </row>
    <row r="270" spans="1:5" ht="30">
      <c r="A270" s="36" t="s">
        <v>26</v>
      </c>
      <c r="B270" s="12" t="s">
        <v>204</v>
      </c>
      <c r="C270" s="12" t="s">
        <v>511</v>
      </c>
      <c r="D270" s="52">
        <v>200</v>
      </c>
      <c r="E270" s="63">
        <v>2000</v>
      </c>
    </row>
    <row r="271" spans="1:5" ht="180">
      <c r="A271" s="36" t="s">
        <v>554</v>
      </c>
      <c r="B271" s="12" t="s">
        <v>204</v>
      </c>
      <c r="C271" s="12" t="s">
        <v>547</v>
      </c>
      <c r="D271" s="52"/>
      <c r="E271" s="63">
        <f>E272</f>
        <v>3439.2</v>
      </c>
    </row>
    <row r="272" spans="1:5">
      <c r="A272" s="36" t="s">
        <v>27</v>
      </c>
      <c r="B272" s="12" t="s">
        <v>204</v>
      </c>
      <c r="C272" s="12" t="s">
        <v>547</v>
      </c>
      <c r="D272" s="52">
        <v>800</v>
      </c>
      <c r="E272" s="63">
        <v>3439.2</v>
      </c>
    </row>
    <row r="273" spans="1:5" ht="41.25">
      <c r="A273" s="58" t="s">
        <v>421</v>
      </c>
      <c r="B273" s="12" t="s">
        <v>204</v>
      </c>
      <c r="C273" s="12" t="s">
        <v>425</v>
      </c>
      <c r="D273" s="52"/>
      <c r="E273" s="56">
        <f>E276+E274</f>
        <v>95158.200000000012</v>
      </c>
    </row>
    <row r="274" spans="1:5" ht="96.75" customHeight="1">
      <c r="A274" s="68" t="s">
        <v>427</v>
      </c>
      <c r="B274" s="12" t="s">
        <v>204</v>
      </c>
      <c r="C274" s="9" t="s">
        <v>428</v>
      </c>
      <c r="D274" s="10"/>
      <c r="E274" s="22">
        <f>E275</f>
        <v>760</v>
      </c>
    </row>
    <row r="275" spans="1:5" ht="30">
      <c r="A275" s="54" t="s">
        <v>26</v>
      </c>
      <c r="B275" s="12" t="s">
        <v>204</v>
      </c>
      <c r="C275" s="9" t="s">
        <v>428</v>
      </c>
      <c r="D275" s="10">
        <v>200</v>
      </c>
      <c r="E275" s="22">
        <v>760</v>
      </c>
    </row>
    <row r="276" spans="1:5" ht="105">
      <c r="A276" s="68" t="s">
        <v>429</v>
      </c>
      <c r="B276" s="12" t="s">
        <v>204</v>
      </c>
      <c r="C276" s="12" t="s">
        <v>430</v>
      </c>
      <c r="D276" s="52"/>
      <c r="E276" s="56">
        <f>E277</f>
        <v>94398.200000000012</v>
      </c>
    </row>
    <row r="277" spans="1:5" ht="30">
      <c r="A277" s="55" t="s">
        <v>126</v>
      </c>
      <c r="B277" s="12" t="s">
        <v>204</v>
      </c>
      <c r="C277" s="12" t="s">
        <v>430</v>
      </c>
      <c r="D277" s="52">
        <v>400</v>
      </c>
      <c r="E277" s="56">
        <f>86493.8+7904.3+0.1</f>
        <v>94398.200000000012</v>
      </c>
    </row>
    <row r="278" spans="1:5" ht="45">
      <c r="A278" s="35" t="s">
        <v>62</v>
      </c>
      <c r="B278" s="12" t="s">
        <v>204</v>
      </c>
      <c r="C278" s="12" t="s">
        <v>63</v>
      </c>
      <c r="D278" s="52"/>
      <c r="E278" s="22">
        <f>E279+E285</f>
        <v>899.6</v>
      </c>
    </row>
    <row r="279" spans="1:5" ht="30" hidden="1">
      <c r="A279" s="35" t="s">
        <v>205</v>
      </c>
      <c r="B279" s="12" t="s">
        <v>204</v>
      </c>
      <c r="C279" s="12" t="s">
        <v>206</v>
      </c>
      <c r="D279" s="52"/>
      <c r="E279" s="22">
        <f>SUM(E282+E280)</f>
        <v>0</v>
      </c>
    </row>
    <row r="280" spans="1:5" hidden="1">
      <c r="A280" s="59" t="s">
        <v>439</v>
      </c>
      <c r="B280" s="12" t="s">
        <v>204</v>
      </c>
      <c r="C280" s="12" t="s">
        <v>440</v>
      </c>
      <c r="D280" s="52"/>
      <c r="E280" s="22">
        <f>E281</f>
        <v>0</v>
      </c>
    </row>
    <row r="281" spans="1:5" ht="30" hidden="1">
      <c r="A281" s="55" t="s">
        <v>126</v>
      </c>
      <c r="B281" s="12" t="s">
        <v>204</v>
      </c>
      <c r="C281" s="12" t="s">
        <v>440</v>
      </c>
      <c r="D281" s="52">
        <v>400</v>
      </c>
      <c r="E281" s="22">
        <f>14.4+4792.5+229.9-5036.8</f>
        <v>0</v>
      </c>
    </row>
    <row r="282" spans="1:5" ht="30" hidden="1">
      <c r="A282" s="35" t="s">
        <v>207</v>
      </c>
      <c r="B282" s="12" t="s">
        <v>204</v>
      </c>
      <c r="C282" s="12" t="s">
        <v>208</v>
      </c>
      <c r="D282" s="52"/>
      <c r="E282" s="22">
        <f>E283+E284</f>
        <v>0</v>
      </c>
    </row>
    <row r="283" spans="1:5" ht="30" hidden="1">
      <c r="A283" s="36" t="s">
        <v>26</v>
      </c>
      <c r="B283" s="12" t="s">
        <v>204</v>
      </c>
      <c r="C283" s="12" t="s">
        <v>208</v>
      </c>
      <c r="D283" s="52">
        <v>200</v>
      </c>
      <c r="E283" s="22">
        <f>775-775</f>
        <v>0</v>
      </c>
    </row>
    <row r="284" spans="1:5" ht="30" hidden="1">
      <c r="A284" s="36" t="s">
        <v>126</v>
      </c>
      <c r="B284" s="12" t="s">
        <v>204</v>
      </c>
      <c r="C284" s="12" t="s">
        <v>208</v>
      </c>
      <c r="D284" s="52">
        <v>400</v>
      </c>
      <c r="E284" s="22">
        <f>1520.6-1520.6</f>
        <v>0</v>
      </c>
    </row>
    <row r="285" spans="1:5" ht="45">
      <c r="A285" s="35" t="s">
        <v>64</v>
      </c>
      <c r="B285" s="12" t="s">
        <v>204</v>
      </c>
      <c r="C285" s="12" t="s">
        <v>65</v>
      </c>
      <c r="D285" s="52"/>
      <c r="E285" s="22">
        <f>SUM(E286)</f>
        <v>899.6</v>
      </c>
    </row>
    <row r="286" spans="1:5">
      <c r="A286" s="35" t="s">
        <v>209</v>
      </c>
      <c r="B286" s="12" t="s">
        <v>204</v>
      </c>
      <c r="C286" s="12" t="s">
        <v>210</v>
      </c>
      <c r="D286" s="52"/>
      <c r="E286" s="22">
        <f>SUM(E287)</f>
        <v>899.6</v>
      </c>
    </row>
    <row r="287" spans="1:5" ht="30">
      <c r="A287" s="36" t="s">
        <v>26</v>
      </c>
      <c r="B287" s="12" t="s">
        <v>204</v>
      </c>
      <c r="C287" s="12" t="s">
        <v>210</v>
      </c>
      <c r="D287" s="52">
        <v>200</v>
      </c>
      <c r="E287" s="22">
        <f>1007.6-163.9+58.6-2.7</f>
        <v>899.6</v>
      </c>
    </row>
    <row r="288" spans="1:5" hidden="1">
      <c r="A288" s="36"/>
      <c r="B288" s="12"/>
      <c r="C288" s="12"/>
      <c r="D288" s="52"/>
      <c r="E288" s="22"/>
    </row>
    <row r="289" spans="1:5" ht="60">
      <c r="A289" s="35" t="s">
        <v>400</v>
      </c>
      <c r="B289" s="12" t="s">
        <v>204</v>
      </c>
      <c r="C289" s="12" t="s">
        <v>68</v>
      </c>
      <c r="D289" s="52"/>
      <c r="E289" s="22">
        <f>E290+E297</f>
        <v>35579.699999999997</v>
      </c>
    </row>
    <row r="290" spans="1:5" ht="45">
      <c r="A290" s="35" t="s">
        <v>211</v>
      </c>
      <c r="B290" s="12" t="s">
        <v>204</v>
      </c>
      <c r="C290" s="12" t="s">
        <v>212</v>
      </c>
      <c r="D290" s="52"/>
      <c r="E290" s="22">
        <f>E291+E293+E295</f>
        <v>21719.7</v>
      </c>
    </row>
    <row r="291" spans="1:5" ht="45">
      <c r="A291" s="35" t="s">
        <v>213</v>
      </c>
      <c r="B291" s="12" t="s">
        <v>204</v>
      </c>
      <c r="C291" s="12" t="s">
        <v>214</v>
      </c>
      <c r="D291" s="52"/>
      <c r="E291" s="22">
        <f>SUM(E292)</f>
        <v>17977.8</v>
      </c>
    </row>
    <row r="292" spans="1:5">
      <c r="A292" s="36" t="s">
        <v>27</v>
      </c>
      <c r="B292" s="12" t="s">
        <v>204</v>
      </c>
      <c r="C292" s="12" t="s">
        <v>214</v>
      </c>
      <c r="D292" s="52">
        <v>800</v>
      </c>
      <c r="E292" s="22">
        <f>19787.8-650-1160</f>
        <v>17977.8</v>
      </c>
    </row>
    <row r="293" spans="1:5" ht="45">
      <c r="A293" s="36" t="s">
        <v>215</v>
      </c>
      <c r="B293" s="12" t="s">
        <v>204</v>
      </c>
      <c r="C293" s="12" t="s">
        <v>216</v>
      </c>
      <c r="D293" s="52"/>
      <c r="E293" s="22">
        <f>SUM(E294)</f>
        <v>304.5</v>
      </c>
    </row>
    <row r="294" spans="1:5" ht="30">
      <c r="A294" s="36" t="s">
        <v>26</v>
      </c>
      <c r="B294" s="12" t="s">
        <v>204</v>
      </c>
      <c r="C294" s="12" t="s">
        <v>216</v>
      </c>
      <c r="D294" s="52">
        <v>200</v>
      </c>
      <c r="E294" s="22">
        <f>1472.5-1168</f>
        <v>304.5</v>
      </c>
    </row>
    <row r="295" spans="1:5" ht="30">
      <c r="A295" s="36" t="s">
        <v>217</v>
      </c>
      <c r="B295" s="12" t="s">
        <v>204</v>
      </c>
      <c r="C295" s="12" t="s">
        <v>218</v>
      </c>
      <c r="D295" s="52"/>
      <c r="E295" s="22">
        <f>SUM(E296)</f>
        <v>3437.4</v>
      </c>
    </row>
    <row r="296" spans="1:5" ht="30">
      <c r="A296" s="36" t="s">
        <v>26</v>
      </c>
      <c r="B296" s="12" t="s">
        <v>204</v>
      </c>
      <c r="C296" s="12" t="s">
        <v>218</v>
      </c>
      <c r="D296" s="52">
        <v>200</v>
      </c>
      <c r="E296" s="22">
        <f>3627-189.6</f>
        <v>3437.4</v>
      </c>
    </row>
    <row r="297" spans="1:5" ht="30">
      <c r="A297" s="36" t="s">
        <v>219</v>
      </c>
      <c r="B297" s="12" t="s">
        <v>204</v>
      </c>
      <c r="C297" s="12" t="s">
        <v>220</v>
      </c>
      <c r="D297" s="52"/>
      <c r="E297" s="22">
        <f>E298</f>
        <v>13860</v>
      </c>
    </row>
    <row r="298" spans="1:5" ht="30">
      <c r="A298" s="36" t="s">
        <v>221</v>
      </c>
      <c r="B298" s="12" t="s">
        <v>204</v>
      </c>
      <c r="C298" s="12" t="s">
        <v>222</v>
      </c>
      <c r="D298" s="52"/>
      <c r="E298" s="22">
        <f>SUM(E299)</f>
        <v>13860</v>
      </c>
    </row>
    <row r="299" spans="1:5" ht="30">
      <c r="A299" s="36" t="s">
        <v>26</v>
      </c>
      <c r="B299" s="12" t="s">
        <v>204</v>
      </c>
      <c r="C299" s="12" t="s">
        <v>222</v>
      </c>
      <c r="D299" s="52">
        <v>200</v>
      </c>
      <c r="E299" s="22">
        <f>6200+7249.7+474.4+277.9-342</f>
        <v>13860</v>
      </c>
    </row>
    <row r="300" spans="1:5" ht="60">
      <c r="A300" s="55" t="s">
        <v>455</v>
      </c>
      <c r="B300" s="12" t="s">
        <v>204</v>
      </c>
      <c r="C300" s="12" t="s">
        <v>457</v>
      </c>
      <c r="D300" s="52"/>
      <c r="E300" s="22">
        <f>E301+E303+E306</f>
        <v>8575.2999999999993</v>
      </c>
    </row>
    <row r="301" spans="1:5">
      <c r="A301" s="55" t="s">
        <v>456</v>
      </c>
      <c r="B301" s="12" t="s">
        <v>204</v>
      </c>
      <c r="C301" s="12" t="s">
        <v>458</v>
      </c>
      <c r="D301" s="52"/>
      <c r="E301" s="22">
        <f>E302</f>
        <v>828</v>
      </c>
    </row>
    <row r="302" spans="1:5" ht="30">
      <c r="A302" s="55" t="s">
        <v>26</v>
      </c>
      <c r="B302" s="12" t="s">
        <v>204</v>
      </c>
      <c r="C302" s="12" t="s">
        <v>458</v>
      </c>
      <c r="D302" s="52">
        <v>200</v>
      </c>
      <c r="E302" s="22">
        <f>775+53</f>
        <v>828</v>
      </c>
    </row>
    <row r="303" spans="1:5">
      <c r="A303" s="55" t="s">
        <v>439</v>
      </c>
      <c r="B303" s="12" t="s">
        <v>204</v>
      </c>
      <c r="C303" s="12" t="s">
        <v>523</v>
      </c>
      <c r="D303" s="52"/>
      <c r="E303" s="22">
        <f>E304+E305</f>
        <v>4280.8</v>
      </c>
    </row>
    <row r="304" spans="1:5" ht="30">
      <c r="A304" s="55" t="s">
        <v>26</v>
      </c>
      <c r="B304" s="12" t="s">
        <v>204</v>
      </c>
      <c r="C304" s="12" t="s">
        <v>523</v>
      </c>
      <c r="D304" s="52">
        <v>200</v>
      </c>
      <c r="E304" s="22">
        <f>900+2037.3</f>
        <v>2937.3</v>
      </c>
    </row>
    <row r="305" spans="1:5" ht="30">
      <c r="A305" s="36" t="s">
        <v>126</v>
      </c>
      <c r="B305" s="12" t="s">
        <v>204</v>
      </c>
      <c r="C305" s="12" t="s">
        <v>523</v>
      </c>
      <c r="D305" s="52">
        <v>400</v>
      </c>
      <c r="E305" s="22">
        <f>7566-6222.5</f>
        <v>1343.5</v>
      </c>
    </row>
    <row r="306" spans="1:5" ht="30">
      <c r="A306" s="36" t="s">
        <v>207</v>
      </c>
      <c r="B306" s="12" t="s">
        <v>204</v>
      </c>
      <c r="C306" s="12" t="s">
        <v>525</v>
      </c>
      <c r="D306" s="52"/>
      <c r="E306" s="22">
        <f>E307</f>
        <v>3466.5</v>
      </c>
    </row>
    <row r="307" spans="1:5" ht="30">
      <c r="A307" s="36" t="s">
        <v>126</v>
      </c>
      <c r="B307" s="12" t="s">
        <v>204</v>
      </c>
      <c r="C307" s="12" t="s">
        <v>525</v>
      </c>
      <c r="D307" s="52">
        <v>400</v>
      </c>
      <c r="E307" s="22">
        <f>2844.7+621.8-411.7+411.7</f>
        <v>3466.5</v>
      </c>
    </row>
    <row r="308" spans="1:5">
      <c r="A308" s="38" t="s">
        <v>223</v>
      </c>
      <c r="B308" s="14" t="s">
        <v>224</v>
      </c>
      <c r="C308" s="53"/>
      <c r="D308" s="53"/>
      <c r="E308" s="26">
        <f>E310+E315+E375</f>
        <v>677241.3</v>
      </c>
    </row>
    <row r="309" spans="1:5">
      <c r="A309" s="31" t="s">
        <v>16</v>
      </c>
      <c r="B309" s="12" t="s">
        <v>224</v>
      </c>
      <c r="C309" s="12" t="s">
        <v>17</v>
      </c>
      <c r="D309" s="53"/>
      <c r="E309" s="22">
        <f>E310</f>
        <v>11445.2</v>
      </c>
    </row>
    <row r="310" spans="1:5">
      <c r="A310" s="33" t="s">
        <v>34</v>
      </c>
      <c r="B310" s="12" t="s">
        <v>224</v>
      </c>
      <c r="C310" s="12" t="s">
        <v>35</v>
      </c>
      <c r="D310" s="52"/>
      <c r="E310" s="22">
        <f>SUM(E311)</f>
        <v>11445.2</v>
      </c>
    </row>
    <row r="311" spans="1:5" ht="45">
      <c r="A311" s="33" t="s">
        <v>225</v>
      </c>
      <c r="B311" s="12" t="s">
        <v>224</v>
      </c>
      <c r="C311" s="12" t="s">
        <v>226</v>
      </c>
      <c r="D311" s="52"/>
      <c r="E311" s="22">
        <f>SUM(E312)</f>
        <v>11445.2</v>
      </c>
    </row>
    <row r="312" spans="1:5" ht="135">
      <c r="A312" s="40" t="s">
        <v>227</v>
      </c>
      <c r="B312" s="12" t="s">
        <v>224</v>
      </c>
      <c r="C312" s="12" t="s">
        <v>226</v>
      </c>
      <c r="D312" s="52"/>
      <c r="E312" s="22">
        <f>SUM(E314)+E313</f>
        <v>11445.2</v>
      </c>
    </row>
    <row r="313" spans="1:5" ht="30">
      <c r="A313" s="55" t="s">
        <v>26</v>
      </c>
      <c r="B313" s="12" t="s">
        <v>224</v>
      </c>
      <c r="C313" s="12" t="s">
        <v>226</v>
      </c>
      <c r="D313" s="52">
        <v>200</v>
      </c>
      <c r="E313" s="22">
        <v>41.7</v>
      </c>
    </row>
    <row r="314" spans="1:5">
      <c r="A314" s="36" t="s">
        <v>27</v>
      </c>
      <c r="B314" s="12" t="s">
        <v>224</v>
      </c>
      <c r="C314" s="12" t="s">
        <v>226</v>
      </c>
      <c r="D314" s="52">
        <v>800</v>
      </c>
      <c r="E314" s="22">
        <f>12463.1-1017.9-41.7</f>
        <v>11403.5</v>
      </c>
    </row>
    <row r="315" spans="1:5" ht="60">
      <c r="A315" s="35" t="s">
        <v>400</v>
      </c>
      <c r="B315" s="12" t="s">
        <v>224</v>
      </c>
      <c r="C315" s="12" t="s">
        <v>68</v>
      </c>
      <c r="D315" s="52"/>
      <c r="E315" s="22">
        <f>SUM(E316)</f>
        <v>197441</v>
      </c>
    </row>
    <row r="316" spans="1:5" ht="45">
      <c r="A316" s="41" t="s">
        <v>211</v>
      </c>
      <c r="B316" s="12" t="s">
        <v>224</v>
      </c>
      <c r="C316" s="12" t="s">
        <v>212</v>
      </c>
      <c r="D316" s="52"/>
      <c r="E316" s="22">
        <f>E319+E321+E323+E325+E364+E366+E370+E327+E329+E331+E333+E335+E337+E339+E341+E343+E345+E347+E349+E351+E355+E353+E357+E359+E368+E372+E362+E317</f>
        <v>197441</v>
      </c>
    </row>
    <row r="317" spans="1:5" ht="30">
      <c r="A317" s="41" t="s">
        <v>560</v>
      </c>
      <c r="B317" s="12" t="s">
        <v>224</v>
      </c>
      <c r="C317" s="12" t="s">
        <v>561</v>
      </c>
      <c r="D317" s="52"/>
      <c r="E317" s="22">
        <f>E318</f>
        <v>2639.6</v>
      </c>
    </row>
    <row r="318" spans="1:5" ht="30">
      <c r="A318" s="41" t="s">
        <v>26</v>
      </c>
      <c r="B318" s="12" t="s">
        <v>224</v>
      </c>
      <c r="C318" s="12" t="s">
        <v>561</v>
      </c>
      <c r="D318" s="52">
        <v>200</v>
      </c>
      <c r="E318" s="22">
        <v>2639.6</v>
      </c>
    </row>
    <row r="319" spans="1:5">
      <c r="A319" s="41" t="s">
        <v>228</v>
      </c>
      <c r="B319" s="12" t="s">
        <v>224</v>
      </c>
      <c r="C319" s="12" t="s">
        <v>229</v>
      </c>
      <c r="D319" s="52"/>
      <c r="E319" s="22">
        <f>SUM(E320)</f>
        <v>279.29999999999995</v>
      </c>
    </row>
    <row r="320" spans="1:5" ht="30">
      <c r="A320" s="36" t="s">
        <v>126</v>
      </c>
      <c r="B320" s="12" t="s">
        <v>224</v>
      </c>
      <c r="C320" s="12" t="s">
        <v>229</v>
      </c>
      <c r="D320" s="52">
        <v>400</v>
      </c>
      <c r="E320" s="22">
        <f>1937.5-1658.2</f>
        <v>279.29999999999995</v>
      </c>
    </row>
    <row r="321" spans="1:5" ht="30">
      <c r="A321" s="43" t="s">
        <v>230</v>
      </c>
      <c r="B321" s="12" t="s">
        <v>224</v>
      </c>
      <c r="C321" s="12" t="s">
        <v>231</v>
      </c>
      <c r="D321" s="52"/>
      <c r="E321" s="22">
        <f>SUM(E322)</f>
        <v>2524.5</v>
      </c>
    </row>
    <row r="322" spans="1:5" ht="30">
      <c r="A322" s="36" t="s">
        <v>126</v>
      </c>
      <c r="B322" s="12" t="s">
        <v>224</v>
      </c>
      <c r="C322" s="12" t="s">
        <v>231</v>
      </c>
      <c r="D322" s="52">
        <v>400</v>
      </c>
      <c r="E322" s="22">
        <f>775+1837.2-87.7</f>
        <v>2524.5</v>
      </c>
    </row>
    <row r="323" spans="1:5" ht="30" hidden="1">
      <c r="A323" s="35" t="s">
        <v>232</v>
      </c>
      <c r="B323" s="12" t="s">
        <v>224</v>
      </c>
      <c r="C323" s="12" t="s">
        <v>233</v>
      </c>
      <c r="D323" s="52"/>
      <c r="E323" s="22">
        <f>SUM(E324)</f>
        <v>0</v>
      </c>
    </row>
    <row r="324" spans="1:5" ht="30" hidden="1">
      <c r="A324" s="36" t="s">
        <v>126</v>
      </c>
      <c r="B324" s="12" t="s">
        <v>224</v>
      </c>
      <c r="C324" s="12" t="s">
        <v>233</v>
      </c>
      <c r="D324" s="52">
        <v>400</v>
      </c>
      <c r="E324" s="22">
        <f>775-775</f>
        <v>0</v>
      </c>
    </row>
    <row r="325" spans="1:5" ht="30">
      <c r="A325" s="55" t="s">
        <v>460</v>
      </c>
      <c r="B325" s="12" t="s">
        <v>224</v>
      </c>
      <c r="C325" s="12" t="s">
        <v>234</v>
      </c>
      <c r="D325" s="52"/>
      <c r="E325" s="22">
        <f>SUM(E326)</f>
        <v>2401</v>
      </c>
    </row>
    <row r="326" spans="1:5" ht="30">
      <c r="A326" s="36" t="s">
        <v>126</v>
      </c>
      <c r="B326" s="12" t="s">
        <v>224</v>
      </c>
      <c r="C326" s="12" t="s">
        <v>234</v>
      </c>
      <c r="D326" s="52">
        <v>400</v>
      </c>
      <c r="E326" s="22">
        <f>5425+900-3924</f>
        <v>2401</v>
      </c>
    </row>
    <row r="327" spans="1:5" ht="30">
      <c r="A327" s="55" t="s">
        <v>441</v>
      </c>
      <c r="B327" s="12" t="s">
        <v>224</v>
      </c>
      <c r="C327" s="12" t="s">
        <v>445</v>
      </c>
      <c r="D327" s="52"/>
      <c r="E327" s="22">
        <f>E328</f>
        <v>2495.1</v>
      </c>
    </row>
    <row r="328" spans="1:5" ht="30">
      <c r="A328" s="55" t="s">
        <v>126</v>
      </c>
      <c r="B328" s="12" t="s">
        <v>224</v>
      </c>
      <c r="C328" s="12" t="s">
        <v>445</v>
      </c>
      <c r="D328" s="52">
        <v>400</v>
      </c>
      <c r="E328" s="22">
        <f>1906.2+588.9</f>
        <v>2495.1</v>
      </c>
    </row>
    <row r="329" spans="1:5" ht="45">
      <c r="A329" s="55" t="s">
        <v>442</v>
      </c>
      <c r="B329" s="12" t="s">
        <v>224</v>
      </c>
      <c r="C329" s="12" t="s">
        <v>446</v>
      </c>
      <c r="D329" s="52"/>
      <c r="E329" s="22">
        <f>E330</f>
        <v>2863</v>
      </c>
    </row>
    <row r="330" spans="1:5" ht="30">
      <c r="A330" s="55" t="s">
        <v>126</v>
      </c>
      <c r="B330" s="12" t="s">
        <v>224</v>
      </c>
      <c r="C330" s="12" t="s">
        <v>446</v>
      </c>
      <c r="D330" s="52">
        <v>400</v>
      </c>
      <c r="E330" s="22">
        <f>366.6+2900-403.6</f>
        <v>2863</v>
      </c>
    </row>
    <row r="331" spans="1:5" ht="30">
      <c r="A331" s="55" t="s">
        <v>443</v>
      </c>
      <c r="B331" s="12" t="s">
        <v>224</v>
      </c>
      <c r="C331" s="12" t="s">
        <v>447</v>
      </c>
      <c r="D331" s="52"/>
      <c r="E331" s="22">
        <f>E332</f>
        <v>1600.3</v>
      </c>
    </row>
    <row r="332" spans="1:5" ht="30">
      <c r="A332" s="55" t="s">
        <v>126</v>
      </c>
      <c r="B332" s="12" t="s">
        <v>224</v>
      </c>
      <c r="C332" s="12" t="s">
        <v>447</v>
      </c>
      <c r="D332" s="52">
        <v>400</v>
      </c>
      <c r="E332" s="22">
        <v>1600.3</v>
      </c>
    </row>
    <row r="333" spans="1:5" ht="30">
      <c r="A333" s="55" t="s">
        <v>444</v>
      </c>
      <c r="B333" s="12" t="s">
        <v>224</v>
      </c>
      <c r="C333" s="12" t="s">
        <v>448</v>
      </c>
      <c r="D333" s="52"/>
      <c r="E333" s="22">
        <f>E334</f>
        <v>330.5</v>
      </c>
    </row>
    <row r="334" spans="1:5" ht="30">
      <c r="A334" s="55" t="s">
        <v>126</v>
      </c>
      <c r="B334" s="12" t="s">
        <v>224</v>
      </c>
      <c r="C334" s="12" t="s">
        <v>448</v>
      </c>
      <c r="D334" s="52">
        <v>400</v>
      </c>
      <c r="E334" s="22">
        <v>330.5</v>
      </c>
    </row>
    <row r="335" spans="1:5">
      <c r="A335" s="55" t="s">
        <v>449</v>
      </c>
      <c r="B335" s="12" t="s">
        <v>224</v>
      </c>
      <c r="C335" s="12" t="s">
        <v>450</v>
      </c>
      <c r="D335" s="52"/>
      <c r="E335" s="22">
        <f>E336</f>
        <v>396.1</v>
      </c>
    </row>
    <row r="336" spans="1:5" ht="30">
      <c r="A336" s="55" t="s">
        <v>126</v>
      </c>
      <c r="B336" s="12" t="s">
        <v>224</v>
      </c>
      <c r="C336" s="12" t="s">
        <v>450</v>
      </c>
      <c r="D336" s="52">
        <v>400</v>
      </c>
      <c r="E336" s="22">
        <f>500-103.9</f>
        <v>396.1</v>
      </c>
    </row>
    <row r="337" spans="1:5" ht="30">
      <c r="A337" s="36" t="s">
        <v>500</v>
      </c>
      <c r="B337" s="12" t="s">
        <v>224</v>
      </c>
      <c r="C337" s="12" t="s">
        <v>469</v>
      </c>
      <c r="D337" s="52"/>
      <c r="E337" s="22">
        <f>E338</f>
        <v>567</v>
      </c>
    </row>
    <row r="338" spans="1:5" ht="30">
      <c r="A338" s="36" t="s">
        <v>26</v>
      </c>
      <c r="B338" s="12" t="s">
        <v>224</v>
      </c>
      <c r="C338" s="12" t="s">
        <v>469</v>
      </c>
      <c r="D338" s="52">
        <v>200</v>
      </c>
      <c r="E338" s="22">
        <v>567</v>
      </c>
    </row>
    <row r="339" spans="1:5" ht="30">
      <c r="A339" s="36" t="s">
        <v>501</v>
      </c>
      <c r="B339" s="12" t="s">
        <v>224</v>
      </c>
      <c r="C339" s="12" t="s">
        <v>470</v>
      </c>
      <c r="D339" s="52"/>
      <c r="E339" s="22">
        <f>E340</f>
        <v>1053.9000000000001</v>
      </c>
    </row>
    <row r="340" spans="1:5" ht="30">
      <c r="A340" s="36" t="s">
        <v>26</v>
      </c>
      <c r="B340" s="12" t="s">
        <v>224</v>
      </c>
      <c r="C340" s="12" t="s">
        <v>470</v>
      </c>
      <c r="D340" s="52">
        <v>200</v>
      </c>
      <c r="E340" s="22">
        <v>1053.9000000000001</v>
      </c>
    </row>
    <row r="341" spans="1:5" ht="30">
      <c r="A341" s="68" t="s">
        <v>502</v>
      </c>
      <c r="B341" s="12" t="s">
        <v>224</v>
      </c>
      <c r="C341" s="12" t="s">
        <v>471</v>
      </c>
      <c r="D341" s="52"/>
      <c r="E341" s="22">
        <f>E342</f>
        <v>962.7</v>
      </c>
    </row>
    <row r="342" spans="1:5" ht="30">
      <c r="A342" s="36" t="s">
        <v>26</v>
      </c>
      <c r="B342" s="12" t="s">
        <v>224</v>
      </c>
      <c r="C342" s="12" t="s">
        <v>471</v>
      </c>
      <c r="D342" s="52">
        <v>200</v>
      </c>
      <c r="E342" s="22">
        <v>962.7</v>
      </c>
    </row>
    <row r="343" spans="1:5" ht="30">
      <c r="A343" s="68" t="s">
        <v>533</v>
      </c>
      <c r="B343" s="12" t="s">
        <v>224</v>
      </c>
      <c r="C343" s="12" t="s">
        <v>472</v>
      </c>
      <c r="D343" s="52"/>
      <c r="E343" s="22">
        <f>E344</f>
        <v>79.5</v>
      </c>
    </row>
    <row r="344" spans="1:5" ht="30">
      <c r="A344" s="36" t="s">
        <v>26</v>
      </c>
      <c r="B344" s="12" t="s">
        <v>224</v>
      </c>
      <c r="C344" s="12" t="s">
        <v>472</v>
      </c>
      <c r="D344" s="52">
        <v>200</v>
      </c>
      <c r="E344" s="22">
        <v>79.5</v>
      </c>
    </row>
    <row r="345" spans="1:5" ht="30">
      <c r="A345" s="68" t="s">
        <v>503</v>
      </c>
      <c r="B345" s="12" t="s">
        <v>224</v>
      </c>
      <c r="C345" s="12" t="s">
        <v>473</v>
      </c>
      <c r="D345" s="52"/>
      <c r="E345" s="22">
        <f>E346</f>
        <v>31.7</v>
      </c>
    </row>
    <row r="346" spans="1:5" ht="30">
      <c r="A346" s="36" t="s">
        <v>26</v>
      </c>
      <c r="B346" s="12" t="s">
        <v>224</v>
      </c>
      <c r="C346" s="12" t="s">
        <v>473</v>
      </c>
      <c r="D346" s="52">
        <v>200</v>
      </c>
      <c r="E346" s="22">
        <v>31.7</v>
      </c>
    </row>
    <row r="347" spans="1:5" ht="30">
      <c r="A347" s="68" t="s">
        <v>504</v>
      </c>
      <c r="B347" s="12" t="s">
        <v>224</v>
      </c>
      <c r="C347" s="12" t="s">
        <v>474</v>
      </c>
      <c r="D347" s="52"/>
      <c r="E347" s="22">
        <f>E348</f>
        <v>7.8</v>
      </c>
    </row>
    <row r="348" spans="1:5" ht="30">
      <c r="A348" s="36" t="s">
        <v>26</v>
      </c>
      <c r="B348" s="12" t="s">
        <v>224</v>
      </c>
      <c r="C348" s="12" t="s">
        <v>474</v>
      </c>
      <c r="D348" s="52">
        <v>200</v>
      </c>
      <c r="E348" s="22">
        <v>7.8</v>
      </c>
    </row>
    <row r="349" spans="1:5" ht="30">
      <c r="A349" s="68" t="s">
        <v>505</v>
      </c>
      <c r="B349" s="12" t="s">
        <v>224</v>
      </c>
      <c r="C349" s="12" t="s">
        <v>475</v>
      </c>
      <c r="D349" s="52"/>
      <c r="E349" s="22">
        <f>E350</f>
        <v>123.9</v>
      </c>
    </row>
    <row r="350" spans="1:5" ht="30">
      <c r="A350" s="36" t="s">
        <v>26</v>
      </c>
      <c r="B350" s="12" t="s">
        <v>224</v>
      </c>
      <c r="C350" s="12" t="s">
        <v>475</v>
      </c>
      <c r="D350" s="52">
        <v>200</v>
      </c>
      <c r="E350" s="22">
        <v>123.9</v>
      </c>
    </row>
    <row r="351" spans="1:5">
      <c r="A351" s="36" t="s">
        <v>506</v>
      </c>
      <c r="B351" s="12" t="s">
        <v>224</v>
      </c>
      <c r="C351" s="12" t="s">
        <v>476</v>
      </c>
      <c r="D351" s="52"/>
      <c r="E351" s="22">
        <f>E352</f>
        <v>92.2</v>
      </c>
    </row>
    <row r="352" spans="1:5" ht="30">
      <c r="A352" s="36" t="s">
        <v>26</v>
      </c>
      <c r="B352" s="12" t="s">
        <v>224</v>
      </c>
      <c r="C352" s="12" t="s">
        <v>476</v>
      </c>
      <c r="D352" s="52">
        <v>200</v>
      </c>
      <c r="E352" s="22">
        <v>92.2</v>
      </c>
    </row>
    <row r="353" spans="1:5" ht="45">
      <c r="A353" s="36" t="s">
        <v>507</v>
      </c>
      <c r="B353" s="12" t="s">
        <v>224</v>
      </c>
      <c r="C353" s="12" t="s">
        <v>477</v>
      </c>
      <c r="D353" s="52"/>
      <c r="E353" s="22">
        <f>E354</f>
        <v>155</v>
      </c>
    </row>
    <row r="354" spans="1:5" ht="30">
      <c r="A354" s="36" t="s">
        <v>26</v>
      </c>
      <c r="B354" s="12" t="s">
        <v>224</v>
      </c>
      <c r="C354" s="12" t="s">
        <v>477</v>
      </c>
      <c r="D354" s="52">
        <v>200</v>
      </c>
      <c r="E354" s="22">
        <v>155</v>
      </c>
    </row>
    <row r="355" spans="1:5" ht="30">
      <c r="A355" s="68" t="s">
        <v>534</v>
      </c>
      <c r="B355" s="12" t="s">
        <v>224</v>
      </c>
      <c r="C355" s="12" t="s">
        <v>478</v>
      </c>
      <c r="D355" s="52"/>
      <c r="E355" s="22">
        <f>E356</f>
        <v>1858.6</v>
      </c>
    </row>
    <row r="356" spans="1:5" ht="30">
      <c r="A356" s="36" t="s">
        <v>26</v>
      </c>
      <c r="B356" s="12" t="s">
        <v>224</v>
      </c>
      <c r="C356" s="12" t="s">
        <v>478</v>
      </c>
      <c r="D356" s="52">
        <v>200</v>
      </c>
      <c r="E356" s="22">
        <f>484+1374.6</f>
        <v>1858.6</v>
      </c>
    </row>
    <row r="357" spans="1:5">
      <c r="A357" s="68" t="s">
        <v>508</v>
      </c>
      <c r="B357" s="12" t="s">
        <v>224</v>
      </c>
      <c r="C357" s="12" t="s">
        <v>479</v>
      </c>
      <c r="D357" s="52"/>
      <c r="E357" s="22">
        <f>E358</f>
        <v>479.5</v>
      </c>
    </row>
    <row r="358" spans="1:5" ht="30">
      <c r="A358" s="36" t="s">
        <v>26</v>
      </c>
      <c r="B358" s="12" t="s">
        <v>224</v>
      </c>
      <c r="C358" s="12" t="s">
        <v>479</v>
      </c>
      <c r="D358" s="52">
        <v>200</v>
      </c>
      <c r="E358" s="22">
        <v>479.5</v>
      </c>
    </row>
    <row r="359" spans="1:5">
      <c r="A359" s="68" t="s">
        <v>514</v>
      </c>
      <c r="B359" s="12" t="s">
        <v>224</v>
      </c>
      <c r="C359" s="12" t="s">
        <v>480</v>
      </c>
      <c r="D359" s="52"/>
      <c r="E359" s="22">
        <f>E360+E361</f>
        <v>540</v>
      </c>
    </row>
    <row r="360" spans="1:5" ht="30" hidden="1">
      <c r="A360" s="36" t="s">
        <v>26</v>
      </c>
      <c r="B360" s="12" t="s">
        <v>224</v>
      </c>
      <c r="C360" s="12" t="s">
        <v>480</v>
      </c>
      <c r="D360" s="52">
        <v>200</v>
      </c>
      <c r="E360" s="22">
        <f>540-540</f>
        <v>0</v>
      </c>
    </row>
    <row r="361" spans="1:5" ht="30">
      <c r="A361" s="36" t="s">
        <v>126</v>
      </c>
      <c r="B361" s="12" t="s">
        <v>224</v>
      </c>
      <c r="C361" s="12" t="s">
        <v>480</v>
      </c>
      <c r="D361" s="52">
        <v>400</v>
      </c>
      <c r="E361" s="22">
        <v>540</v>
      </c>
    </row>
    <row r="362" spans="1:5" ht="180">
      <c r="A362" s="68" t="s">
        <v>496</v>
      </c>
      <c r="B362" s="12" t="s">
        <v>224</v>
      </c>
      <c r="C362" s="12" t="s">
        <v>497</v>
      </c>
      <c r="D362" s="52"/>
      <c r="E362" s="22">
        <f>E363</f>
        <v>98793.9</v>
      </c>
    </row>
    <row r="363" spans="1:5" ht="30">
      <c r="A363" s="36" t="s">
        <v>126</v>
      </c>
      <c r="B363" s="12" t="s">
        <v>224</v>
      </c>
      <c r="C363" s="12" t="s">
        <v>497</v>
      </c>
      <c r="D363" s="52">
        <v>400</v>
      </c>
      <c r="E363" s="63">
        <v>98793.9</v>
      </c>
    </row>
    <row r="364" spans="1:5" ht="30">
      <c r="A364" s="35" t="s">
        <v>235</v>
      </c>
      <c r="B364" s="12" t="s">
        <v>224</v>
      </c>
      <c r="C364" s="12" t="s">
        <v>236</v>
      </c>
      <c r="D364" s="52"/>
      <c r="E364" s="22">
        <f>SUM(E365)</f>
        <v>5438.3000000000011</v>
      </c>
    </row>
    <row r="365" spans="1:5">
      <c r="A365" s="36" t="s">
        <v>27</v>
      </c>
      <c r="B365" s="12" t="s">
        <v>224</v>
      </c>
      <c r="C365" s="12" t="s">
        <v>236</v>
      </c>
      <c r="D365" s="52">
        <v>800</v>
      </c>
      <c r="E365" s="22">
        <f>7888.3+788.4-2788.4-450</f>
        <v>5438.3000000000011</v>
      </c>
    </row>
    <row r="366" spans="1:5" ht="45">
      <c r="A366" s="35" t="s">
        <v>237</v>
      </c>
      <c r="B366" s="12" t="s">
        <v>224</v>
      </c>
      <c r="C366" s="12" t="s">
        <v>238</v>
      </c>
      <c r="D366" s="52"/>
      <c r="E366" s="22">
        <f>SUM(E367)</f>
        <v>1843</v>
      </c>
    </row>
    <row r="367" spans="1:5">
      <c r="A367" s="36" t="s">
        <v>27</v>
      </c>
      <c r="B367" s="12" t="s">
        <v>224</v>
      </c>
      <c r="C367" s="12" t="s">
        <v>238</v>
      </c>
      <c r="D367" s="52">
        <v>800</v>
      </c>
      <c r="E367" s="22">
        <v>1843</v>
      </c>
    </row>
    <row r="368" spans="1:5">
      <c r="A368" s="36" t="s">
        <v>483</v>
      </c>
      <c r="B368" s="12" t="s">
        <v>224</v>
      </c>
      <c r="C368" s="12" t="s">
        <v>482</v>
      </c>
      <c r="D368" s="52"/>
      <c r="E368" s="22">
        <f>E369</f>
        <v>1187</v>
      </c>
    </row>
    <row r="369" spans="1:5" ht="30">
      <c r="A369" s="36" t="s">
        <v>26</v>
      </c>
      <c r="B369" s="12" t="s">
        <v>224</v>
      </c>
      <c r="C369" s="12" t="s">
        <v>482</v>
      </c>
      <c r="D369" s="52">
        <v>200</v>
      </c>
      <c r="E369" s="22">
        <v>1187</v>
      </c>
    </row>
    <row r="370" spans="1:5" ht="180">
      <c r="A370" s="70" t="s">
        <v>417</v>
      </c>
      <c r="B370" s="12" t="s">
        <v>224</v>
      </c>
      <c r="C370" s="12" t="s">
        <v>418</v>
      </c>
      <c r="D370" s="52"/>
      <c r="E370" s="22">
        <f>E371</f>
        <v>12534.8</v>
      </c>
    </row>
    <row r="371" spans="1:5" ht="30">
      <c r="A371" s="55" t="s">
        <v>126</v>
      </c>
      <c r="B371" s="12" t="s">
        <v>224</v>
      </c>
      <c r="C371" s="12" t="s">
        <v>418</v>
      </c>
      <c r="D371" s="52">
        <v>400</v>
      </c>
      <c r="E371" s="22">
        <v>12534.8</v>
      </c>
    </row>
    <row r="372" spans="1:5" ht="195">
      <c r="A372" s="68" t="s">
        <v>487</v>
      </c>
      <c r="B372" s="12" t="s">
        <v>224</v>
      </c>
      <c r="C372" s="12" t="s">
        <v>486</v>
      </c>
      <c r="D372" s="52"/>
      <c r="E372" s="22">
        <f>E373+E374</f>
        <v>56162.8</v>
      </c>
    </row>
    <row r="373" spans="1:5" ht="30">
      <c r="A373" s="36" t="s">
        <v>26</v>
      </c>
      <c r="B373" s="12" t="s">
        <v>224</v>
      </c>
      <c r="C373" s="12" t="s">
        <v>486</v>
      </c>
      <c r="D373" s="52">
        <v>200</v>
      </c>
      <c r="E373" s="63">
        <f>51162.8+5000-5000</f>
        <v>51162.8</v>
      </c>
    </row>
    <row r="374" spans="1:5" ht="30">
      <c r="A374" s="36" t="s">
        <v>126</v>
      </c>
      <c r="B374" s="12" t="s">
        <v>224</v>
      </c>
      <c r="C374" s="12" t="s">
        <v>486</v>
      </c>
      <c r="D374" s="52">
        <v>400</v>
      </c>
      <c r="E374" s="63">
        <v>5000</v>
      </c>
    </row>
    <row r="375" spans="1:5" ht="30">
      <c r="A375" s="35" t="s">
        <v>173</v>
      </c>
      <c r="B375" s="12" t="s">
        <v>224</v>
      </c>
      <c r="C375" s="12" t="s">
        <v>174</v>
      </c>
      <c r="D375" s="52"/>
      <c r="E375" s="22">
        <f>E376</f>
        <v>468355.1</v>
      </c>
    </row>
    <row r="376" spans="1:5">
      <c r="A376" s="35" t="s">
        <v>175</v>
      </c>
      <c r="B376" s="12" t="s">
        <v>224</v>
      </c>
      <c r="C376" s="12" t="s">
        <v>176</v>
      </c>
      <c r="D376" s="52"/>
      <c r="E376" s="22">
        <f>E377</f>
        <v>468355.1</v>
      </c>
    </row>
    <row r="377" spans="1:5" ht="105">
      <c r="A377" s="68" t="s">
        <v>484</v>
      </c>
      <c r="B377" s="12" t="s">
        <v>224</v>
      </c>
      <c r="C377" s="12" t="s">
        <v>485</v>
      </c>
      <c r="D377" s="52"/>
      <c r="E377" s="22">
        <f>E378</f>
        <v>468355.1</v>
      </c>
    </row>
    <row r="378" spans="1:5" ht="30">
      <c r="A378" s="36" t="s">
        <v>126</v>
      </c>
      <c r="B378" s="12" t="s">
        <v>224</v>
      </c>
      <c r="C378" s="12" t="s">
        <v>485</v>
      </c>
      <c r="D378" s="52">
        <v>400</v>
      </c>
      <c r="E378" s="63">
        <v>468355.1</v>
      </c>
    </row>
    <row r="379" spans="1:5">
      <c r="A379" s="38" t="s">
        <v>239</v>
      </c>
      <c r="B379" s="14" t="s">
        <v>240</v>
      </c>
      <c r="C379" s="14"/>
      <c r="D379" s="53"/>
      <c r="E379" s="26">
        <f>SUM(E381)+E383</f>
        <v>211650.5</v>
      </c>
    </row>
    <row r="380" spans="1:5">
      <c r="A380" s="31" t="s">
        <v>16</v>
      </c>
      <c r="B380" s="12" t="s">
        <v>240</v>
      </c>
      <c r="C380" s="12" t="s">
        <v>17</v>
      </c>
      <c r="D380" s="53"/>
      <c r="E380" s="22">
        <f>E381</f>
        <v>12931.3</v>
      </c>
    </row>
    <row r="381" spans="1:5" ht="30">
      <c r="A381" s="36" t="s">
        <v>241</v>
      </c>
      <c r="B381" s="12" t="s">
        <v>240</v>
      </c>
      <c r="C381" s="12" t="s">
        <v>242</v>
      </c>
      <c r="D381" s="52"/>
      <c r="E381" s="22">
        <f>SUM(E382)</f>
        <v>12931.3</v>
      </c>
    </row>
    <row r="382" spans="1:5">
      <c r="A382" s="36" t="s">
        <v>27</v>
      </c>
      <c r="B382" s="12" t="s">
        <v>240</v>
      </c>
      <c r="C382" s="12" t="s">
        <v>242</v>
      </c>
      <c r="D382" s="52">
        <v>800</v>
      </c>
      <c r="E382" s="22">
        <v>12931.3</v>
      </c>
    </row>
    <row r="383" spans="1:5" ht="60">
      <c r="A383" s="35" t="s">
        <v>400</v>
      </c>
      <c r="B383" s="12" t="s">
        <v>240</v>
      </c>
      <c r="C383" s="12" t="s">
        <v>68</v>
      </c>
      <c r="D383" s="52"/>
      <c r="E383" s="22">
        <f>SUM(E384)</f>
        <v>198719.2</v>
      </c>
    </row>
    <row r="384" spans="1:5" ht="30">
      <c r="A384" s="35" t="s">
        <v>167</v>
      </c>
      <c r="B384" s="12" t="s">
        <v>240</v>
      </c>
      <c r="C384" s="12" t="s">
        <v>168</v>
      </c>
      <c r="D384" s="52"/>
      <c r="E384" s="22">
        <f>SUM(E385+E387+E389+E391+E393)+E395</f>
        <v>198719.2</v>
      </c>
    </row>
    <row r="385" spans="1:5">
      <c r="A385" s="41" t="s">
        <v>243</v>
      </c>
      <c r="B385" s="12" t="s">
        <v>240</v>
      </c>
      <c r="C385" s="12" t="s">
        <v>244</v>
      </c>
      <c r="D385" s="52"/>
      <c r="E385" s="22">
        <f>SUM(E386)</f>
        <v>46875.9</v>
      </c>
    </row>
    <row r="386" spans="1:5" ht="30">
      <c r="A386" s="36" t="s">
        <v>26</v>
      </c>
      <c r="B386" s="12" t="s">
        <v>240</v>
      </c>
      <c r="C386" s="12" t="s">
        <v>244</v>
      </c>
      <c r="D386" s="52">
        <v>200</v>
      </c>
      <c r="E386" s="22">
        <f>44084.3+1289.6+1502</f>
        <v>46875.9</v>
      </c>
    </row>
    <row r="387" spans="1:5" ht="45">
      <c r="A387" s="44" t="s">
        <v>245</v>
      </c>
      <c r="B387" s="12" t="s">
        <v>240</v>
      </c>
      <c r="C387" s="12" t="s">
        <v>246</v>
      </c>
      <c r="D387" s="52"/>
      <c r="E387" s="22">
        <f>SUM(E388)</f>
        <v>42071.3</v>
      </c>
    </row>
    <row r="388" spans="1:5">
      <c r="A388" s="36" t="s">
        <v>27</v>
      </c>
      <c r="B388" s="12" t="s">
        <v>240</v>
      </c>
      <c r="C388" s="12" t="s">
        <v>246</v>
      </c>
      <c r="D388" s="52">
        <v>800</v>
      </c>
      <c r="E388" s="22">
        <f>38750+3321.4-0.1</f>
        <v>42071.3</v>
      </c>
    </row>
    <row r="389" spans="1:5" ht="45">
      <c r="A389" s="35" t="s">
        <v>247</v>
      </c>
      <c r="B389" s="12" t="s">
        <v>240</v>
      </c>
      <c r="C389" s="12" t="s">
        <v>248</v>
      </c>
      <c r="D389" s="52"/>
      <c r="E389" s="22">
        <f>SUM(E390)</f>
        <v>25746.6</v>
      </c>
    </row>
    <row r="390" spans="1:5">
      <c r="A390" s="36" t="s">
        <v>27</v>
      </c>
      <c r="B390" s="12" t="s">
        <v>240</v>
      </c>
      <c r="C390" s="12" t="s">
        <v>248</v>
      </c>
      <c r="D390" s="52">
        <v>800</v>
      </c>
      <c r="E390" s="22">
        <f>29067.9-3321.4+0.1</f>
        <v>25746.6</v>
      </c>
    </row>
    <row r="391" spans="1:5" ht="90">
      <c r="A391" s="42" t="s">
        <v>249</v>
      </c>
      <c r="B391" s="12" t="s">
        <v>240</v>
      </c>
      <c r="C391" s="12" t="s">
        <v>250</v>
      </c>
      <c r="D391" s="52"/>
      <c r="E391" s="22">
        <f>SUM(E392)</f>
        <v>62440.999999999993</v>
      </c>
    </row>
    <row r="392" spans="1:5">
      <c r="A392" s="36" t="s">
        <v>27</v>
      </c>
      <c r="B392" s="12" t="s">
        <v>240</v>
      </c>
      <c r="C392" s="12" t="s">
        <v>250</v>
      </c>
      <c r="D392" s="52">
        <v>800</v>
      </c>
      <c r="E392" s="22">
        <f>72373.4-9932.4</f>
        <v>62440.999999999993</v>
      </c>
    </row>
    <row r="393" spans="1:5">
      <c r="A393" s="35" t="s">
        <v>251</v>
      </c>
      <c r="B393" s="12" t="s">
        <v>240</v>
      </c>
      <c r="C393" s="12" t="s">
        <v>252</v>
      </c>
      <c r="D393" s="52"/>
      <c r="E393" s="22">
        <f>SUM(E394)</f>
        <v>19652</v>
      </c>
    </row>
    <row r="394" spans="1:5" ht="30">
      <c r="A394" s="36" t="s">
        <v>26</v>
      </c>
      <c r="B394" s="12" t="s">
        <v>240</v>
      </c>
      <c r="C394" s="12" t="s">
        <v>252</v>
      </c>
      <c r="D394" s="52">
        <v>200</v>
      </c>
      <c r="E394" s="22">
        <f>11625+1391.3-1006.7+1615.4+5000+1027</f>
        <v>19652</v>
      </c>
    </row>
    <row r="395" spans="1:5" ht="90">
      <c r="A395" s="36" t="s">
        <v>539</v>
      </c>
      <c r="B395" s="12" t="s">
        <v>240</v>
      </c>
      <c r="C395" s="12" t="s">
        <v>540</v>
      </c>
      <c r="D395" s="52"/>
      <c r="E395" s="22">
        <f>E396</f>
        <v>1932.4</v>
      </c>
    </row>
    <row r="396" spans="1:5">
      <c r="A396" s="36" t="s">
        <v>27</v>
      </c>
      <c r="B396" s="12" t="s">
        <v>240</v>
      </c>
      <c r="C396" s="12" t="s">
        <v>540</v>
      </c>
      <c r="D396" s="52">
        <v>800</v>
      </c>
      <c r="E396" s="63">
        <v>1932.4</v>
      </c>
    </row>
    <row r="397" spans="1:5" ht="28.5">
      <c r="A397" s="38" t="s">
        <v>253</v>
      </c>
      <c r="B397" s="14" t="s">
        <v>254</v>
      </c>
      <c r="C397" s="53"/>
      <c r="D397" s="53"/>
      <c r="E397" s="26">
        <f>E398+E404+E410</f>
        <v>101021.9</v>
      </c>
    </row>
    <row r="398" spans="1:5" ht="60">
      <c r="A398" s="31" t="s">
        <v>255</v>
      </c>
      <c r="B398" s="8" t="s">
        <v>254</v>
      </c>
      <c r="C398" s="9" t="s">
        <v>68</v>
      </c>
      <c r="D398" s="10"/>
      <c r="E398" s="18">
        <f>SUM(E399)</f>
        <v>32080.6</v>
      </c>
    </row>
    <row r="399" spans="1:5" ht="75">
      <c r="A399" s="31" t="s">
        <v>256</v>
      </c>
      <c r="B399" s="8" t="s">
        <v>254</v>
      </c>
      <c r="C399" s="9" t="s">
        <v>257</v>
      </c>
      <c r="D399" s="10"/>
      <c r="E399" s="18">
        <f>SUM(E400)</f>
        <v>32080.6</v>
      </c>
    </row>
    <row r="400" spans="1:5" ht="45">
      <c r="A400" s="34" t="s">
        <v>32</v>
      </c>
      <c r="B400" s="8" t="s">
        <v>254</v>
      </c>
      <c r="C400" s="9" t="s">
        <v>258</v>
      </c>
      <c r="D400" s="10"/>
      <c r="E400" s="18">
        <f>SUM(E401:E403)</f>
        <v>32080.6</v>
      </c>
    </row>
    <row r="401" spans="1:5" ht="60">
      <c r="A401" s="31" t="s">
        <v>13</v>
      </c>
      <c r="B401" s="8" t="s">
        <v>254</v>
      </c>
      <c r="C401" s="9" t="s">
        <v>258</v>
      </c>
      <c r="D401" s="10">
        <v>100</v>
      </c>
      <c r="E401" s="18">
        <f>30637.1-40.5-35.1-58.9-290.5</f>
        <v>30212.1</v>
      </c>
    </row>
    <row r="402" spans="1:5" ht="30">
      <c r="A402" s="31" t="s">
        <v>26</v>
      </c>
      <c r="B402" s="8" t="s">
        <v>254</v>
      </c>
      <c r="C402" s="9" t="s">
        <v>258</v>
      </c>
      <c r="D402" s="10">
        <v>200</v>
      </c>
      <c r="E402" s="18">
        <f>1676.8+56+35.1+73.9+17.9</f>
        <v>1859.7</v>
      </c>
    </row>
    <row r="403" spans="1:5">
      <c r="A403" s="33" t="s">
        <v>27</v>
      </c>
      <c r="B403" s="8" t="s">
        <v>254</v>
      </c>
      <c r="C403" s="9" t="s">
        <v>258</v>
      </c>
      <c r="D403" s="10">
        <v>800</v>
      </c>
      <c r="E403" s="18">
        <f>70-27.5-33.7</f>
        <v>8.7999999999999972</v>
      </c>
    </row>
    <row r="404" spans="1:5" ht="45">
      <c r="A404" s="33" t="s">
        <v>92</v>
      </c>
      <c r="B404" s="12" t="s">
        <v>254</v>
      </c>
      <c r="C404" s="12" t="s">
        <v>93</v>
      </c>
      <c r="D404" s="52"/>
      <c r="E404" s="22">
        <f>SUM(E405)</f>
        <v>13638</v>
      </c>
    </row>
    <row r="405" spans="1:5" ht="30">
      <c r="A405" s="33" t="s">
        <v>122</v>
      </c>
      <c r="B405" s="12" t="s">
        <v>254</v>
      </c>
      <c r="C405" s="12" t="s">
        <v>123</v>
      </c>
      <c r="D405" s="52"/>
      <c r="E405" s="22">
        <f>SUM(E406+E408)</f>
        <v>13638</v>
      </c>
    </row>
    <row r="406" spans="1:5" ht="30">
      <c r="A406" s="33" t="s">
        <v>403</v>
      </c>
      <c r="B406" s="12" t="s">
        <v>254</v>
      </c>
      <c r="C406" s="12" t="s">
        <v>259</v>
      </c>
      <c r="D406" s="52"/>
      <c r="E406" s="22">
        <f>SUM(E407)</f>
        <v>13638</v>
      </c>
    </row>
    <row r="407" spans="1:5" ht="30">
      <c r="A407" s="36" t="s">
        <v>126</v>
      </c>
      <c r="B407" s="12" t="s">
        <v>254</v>
      </c>
      <c r="C407" s="12" t="s">
        <v>259</v>
      </c>
      <c r="D407" s="52">
        <v>400</v>
      </c>
      <c r="E407" s="22">
        <f>14647-647-362</f>
        <v>13638</v>
      </c>
    </row>
    <row r="408" spans="1:5" hidden="1">
      <c r="A408" s="55" t="s">
        <v>451</v>
      </c>
      <c r="B408" s="12" t="s">
        <v>254</v>
      </c>
      <c r="C408" s="12" t="s">
        <v>452</v>
      </c>
      <c r="D408" s="52"/>
      <c r="E408" s="22">
        <f>E409</f>
        <v>0</v>
      </c>
    </row>
    <row r="409" spans="1:5" ht="30" hidden="1">
      <c r="A409" s="55" t="s">
        <v>126</v>
      </c>
      <c r="B409" s="12" t="s">
        <v>254</v>
      </c>
      <c r="C409" s="12" t="s">
        <v>452</v>
      </c>
      <c r="D409" s="52">
        <v>400</v>
      </c>
      <c r="E409" s="22">
        <f>647-647</f>
        <v>0</v>
      </c>
    </row>
    <row r="410" spans="1:5" ht="60">
      <c r="A410" s="35" t="s">
        <v>260</v>
      </c>
      <c r="B410" s="12" t="s">
        <v>254</v>
      </c>
      <c r="C410" s="12" t="s">
        <v>199</v>
      </c>
      <c r="D410" s="52"/>
      <c r="E410" s="22">
        <f>SUM(E411)</f>
        <v>55303.3</v>
      </c>
    </row>
    <row r="411" spans="1:5" ht="30">
      <c r="A411" s="36" t="s">
        <v>66</v>
      </c>
      <c r="B411" s="12" t="s">
        <v>254</v>
      </c>
      <c r="C411" s="12" t="s">
        <v>261</v>
      </c>
      <c r="D411" s="52"/>
      <c r="E411" s="22">
        <f>SUM(E412:E414)</f>
        <v>55303.3</v>
      </c>
    </row>
    <row r="412" spans="1:5" ht="60">
      <c r="A412" s="36" t="s">
        <v>13</v>
      </c>
      <c r="B412" s="12" t="s">
        <v>254</v>
      </c>
      <c r="C412" s="12" t="s">
        <v>261</v>
      </c>
      <c r="D412" s="52">
        <v>100</v>
      </c>
      <c r="E412" s="22">
        <f>33827.4-2210</f>
        <v>31617.4</v>
      </c>
    </row>
    <row r="413" spans="1:5" ht="30">
      <c r="A413" s="36" t="s">
        <v>26</v>
      </c>
      <c r="B413" s="12" t="s">
        <v>254</v>
      </c>
      <c r="C413" s="12" t="s">
        <v>261</v>
      </c>
      <c r="D413" s="52">
        <v>200</v>
      </c>
      <c r="E413" s="22">
        <f>5109.7-376-1103</f>
        <v>3630.7</v>
      </c>
    </row>
    <row r="414" spans="1:5">
      <c r="A414" s="33" t="s">
        <v>27</v>
      </c>
      <c r="B414" s="12" t="s">
        <v>254</v>
      </c>
      <c r="C414" s="12" t="s">
        <v>261</v>
      </c>
      <c r="D414" s="52">
        <v>800</v>
      </c>
      <c r="E414" s="22">
        <f>14514+376+5165.2</f>
        <v>20055.2</v>
      </c>
    </row>
    <row r="415" spans="1:5">
      <c r="A415" s="45" t="s">
        <v>262</v>
      </c>
      <c r="B415" s="5" t="s">
        <v>263</v>
      </c>
      <c r="C415" s="6"/>
      <c r="D415" s="7"/>
      <c r="E415" s="25">
        <f>+E416+E429+E475+E453</f>
        <v>1912706.4000000001</v>
      </c>
    </row>
    <row r="416" spans="1:5">
      <c r="A416" s="30" t="s">
        <v>264</v>
      </c>
      <c r="B416" s="5" t="s">
        <v>265</v>
      </c>
      <c r="C416" s="6"/>
      <c r="D416" s="7"/>
      <c r="E416" s="25">
        <f>SUM(E417)</f>
        <v>695257.3</v>
      </c>
    </row>
    <row r="417" spans="1:5" ht="30">
      <c r="A417" s="31" t="s">
        <v>266</v>
      </c>
      <c r="B417" s="8" t="s">
        <v>265</v>
      </c>
      <c r="C417" s="9" t="s">
        <v>285</v>
      </c>
      <c r="D417" s="10"/>
      <c r="E417" s="18">
        <f>SUM(E418)</f>
        <v>695257.3</v>
      </c>
    </row>
    <row r="418" spans="1:5" ht="30">
      <c r="A418" s="32" t="s">
        <v>267</v>
      </c>
      <c r="B418" s="8" t="s">
        <v>265</v>
      </c>
      <c r="C418" s="9" t="s">
        <v>300</v>
      </c>
      <c r="D418" s="10"/>
      <c r="E418" s="18">
        <f>SUM(E419+E427)+E423+E425+E421</f>
        <v>695257.3</v>
      </c>
    </row>
    <row r="419" spans="1:5" ht="30">
      <c r="A419" s="32" t="s">
        <v>52</v>
      </c>
      <c r="B419" s="8" t="s">
        <v>265</v>
      </c>
      <c r="C419" s="9" t="s">
        <v>268</v>
      </c>
      <c r="D419" s="10"/>
      <c r="E419" s="18">
        <f>E420</f>
        <v>295719.10000000003</v>
      </c>
    </row>
    <row r="420" spans="1:5" ht="30">
      <c r="A420" s="31" t="s">
        <v>77</v>
      </c>
      <c r="B420" s="8" t="s">
        <v>265</v>
      </c>
      <c r="C420" s="9" t="s">
        <v>268</v>
      </c>
      <c r="D420" s="10">
        <v>600</v>
      </c>
      <c r="E420" s="18">
        <f>291918.7+15522.7+4137.9-15860.2</f>
        <v>295719.10000000003</v>
      </c>
    </row>
    <row r="421" spans="1:5">
      <c r="A421" s="54" t="s">
        <v>274</v>
      </c>
      <c r="B421" s="8" t="s">
        <v>265</v>
      </c>
      <c r="C421" s="16" t="s">
        <v>275</v>
      </c>
      <c r="D421" s="10"/>
      <c r="E421" s="18">
        <f>E422</f>
        <v>50839.799999999996</v>
      </c>
    </row>
    <row r="422" spans="1:5" ht="30">
      <c r="A422" s="60" t="s">
        <v>126</v>
      </c>
      <c r="B422" s="8" t="s">
        <v>265</v>
      </c>
      <c r="C422" s="16" t="s">
        <v>275</v>
      </c>
      <c r="D422" s="10">
        <v>400</v>
      </c>
      <c r="E422" s="18">
        <f>846.1+49993.7</f>
        <v>50839.799999999996</v>
      </c>
    </row>
    <row r="423" spans="1:5" ht="30" hidden="1">
      <c r="A423" s="36" t="s">
        <v>301</v>
      </c>
      <c r="B423" s="12" t="s">
        <v>265</v>
      </c>
      <c r="C423" s="16" t="s">
        <v>302</v>
      </c>
      <c r="D423" s="52"/>
      <c r="E423" s="22">
        <f>SUM(E424)</f>
        <v>0</v>
      </c>
    </row>
    <row r="424" spans="1:5" ht="30" hidden="1">
      <c r="A424" s="36" t="s">
        <v>126</v>
      </c>
      <c r="B424" s="12" t="s">
        <v>265</v>
      </c>
      <c r="C424" s="16" t="s">
        <v>302</v>
      </c>
      <c r="D424" s="52">
        <v>400</v>
      </c>
      <c r="E424" s="22">
        <f>387.5-387.5</f>
        <v>0</v>
      </c>
    </row>
    <row r="425" spans="1:5">
      <c r="A425" s="55" t="s">
        <v>453</v>
      </c>
      <c r="B425" s="12" t="s">
        <v>265</v>
      </c>
      <c r="C425" s="12" t="s">
        <v>454</v>
      </c>
      <c r="D425" s="52"/>
      <c r="E425" s="22">
        <f>E426</f>
        <v>322.60000000000002</v>
      </c>
    </row>
    <row r="426" spans="1:5" ht="30">
      <c r="A426" s="55" t="s">
        <v>126</v>
      </c>
      <c r="B426" s="12" t="s">
        <v>265</v>
      </c>
      <c r="C426" s="12" t="s">
        <v>454</v>
      </c>
      <c r="D426" s="52">
        <v>400</v>
      </c>
      <c r="E426" s="22">
        <v>322.60000000000002</v>
      </c>
    </row>
    <row r="427" spans="1:5" ht="105">
      <c r="A427" s="32" t="s">
        <v>269</v>
      </c>
      <c r="B427" s="8" t="s">
        <v>265</v>
      </c>
      <c r="C427" s="9" t="s">
        <v>270</v>
      </c>
      <c r="D427" s="10"/>
      <c r="E427" s="18">
        <f>E428</f>
        <v>348375.8</v>
      </c>
    </row>
    <row r="428" spans="1:5" ht="30">
      <c r="A428" s="31" t="s">
        <v>77</v>
      </c>
      <c r="B428" s="8" t="s">
        <v>265</v>
      </c>
      <c r="C428" s="9" t="s">
        <v>270</v>
      </c>
      <c r="D428" s="8" t="s">
        <v>271</v>
      </c>
      <c r="E428" s="18">
        <f>319403.4+27559.1+1413.3</f>
        <v>348375.8</v>
      </c>
    </row>
    <row r="429" spans="1:5">
      <c r="A429" s="30" t="s">
        <v>272</v>
      </c>
      <c r="B429" s="5" t="s">
        <v>273</v>
      </c>
      <c r="C429" s="6"/>
      <c r="D429" s="7"/>
      <c r="E429" s="25">
        <f>SUM(E433,E449)+E430</f>
        <v>1122064.2</v>
      </c>
    </row>
    <row r="430" spans="1:5">
      <c r="A430" s="31" t="s">
        <v>16</v>
      </c>
      <c r="B430" s="8" t="s">
        <v>273</v>
      </c>
      <c r="C430" s="9" t="s">
        <v>17</v>
      </c>
      <c r="D430" s="10"/>
      <c r="E430" s="18">
        <f>E431</f>
        <v>26252</v>
      </c>
    </row>
    <row r="431" spans="1:5">
      <c r="A431" s="31" t="s">
        <v>48</v>
      </c>
      <c r="B431" s="8" t="s">
        <v>273</v>
      </c>
      <c r="C431" s="9" t="s">
        <v>49</v>
      </c>
      <c r="D431" s="10"/>
      <c r="E431" s="18">
        <f>E432</f>
        <v>26252</v>
      </c>
    </row>
    <row r="432" spans="1:5" ht="30">
      <c r="A432" s="31" t="s">
        <v>77</v>
      </c>
      <c r="B432" s="8" t="s">
        <v>273</v>
      </c>
      <c r="C432" s="9" t="s">
        <v>49</v>
      </c>
      <c r="D432" s="10">
        <v>600</v>
      </c>
      <c r="E432" s="63">
        <f>17994.6+6376.8+131.2+1749.4</f>
        <v>26252</v>
      </c>
    </row>
    <row r="433" spans="1:5" ht="30">
      <c r="A433" s="31" t="s">
        <v>266</v>
      </c>
      <c r="B433" s="8" t="s">
        <v>273</v>
      </c>
      <c r="C433" s="9" t="s">
        <v>285</v>
      </c>
      <c r="D433" s="10"/>
      <c r="E433" s="18">
        <f>SUM(E434)</f>
        <v>1038961.3</v>
      </c>
    </row>
    <row r="434" spans="1:5" ht="30">
      <c r="A434" s="32" t="s">
        <v>267</v>
      </c>
      <c r="B434" s="8" t="s">
        <v>273</v>
      </c>
      <c r="C434" s="9" t="s">
        <v>300</v>
      </c>
      <c r="D434" s="10"/>
      <c r="E434" s="18">
        <f>SUM(E439+E441+E445+E447)+E437+E435+E443</f>
        <v>1038961.3</v>
      </c>
    </row>
    <row r="435" spans="1:5" ht="95.25" customHeight="1">
      <c r="A435" s="32" t="s">
        <v>553</v>
      </c>
      <c r="B435" s="8" t="s">
        <v>273</v>
      </c>
      <c r="C435" s="9" t="s">
        <v>548</v>
      </c>
      <c r="D435" s="10"/>
      <c r="E435" s="18">
        <f>E436</f>
        <v>170.1</v>
      </c>
    </row>
    <row r="436" spans="1:5" ht="30">
      <c r="A436" s="31" t="s">
        <v>77</v>
      </c>
      <c r="B436" s="8" t="s">
        <v>273</v>
      </c>
      <c r="C436" s="9" t="s">
        <v>548</v>
      </c>
      <c r="D436" s="10">
        <v>600</v>
      </c>
      <c r="E436" s="18">
        <v>170.1</v>
      </c>
    </row>
    <row r="437" spans="1:5" ht="30">
      <c r="A437" s="32" t="s">
        <v>529</v>
      </c>
      <c r="B437" s="8" t="s">
        <v>273</v>
      </c>
      <c r="C437" s="9" t="s">
        <v>517</v>
      </c>
      <c r="D437" s="10"/>
      <c r="E437" s="18">
        <f>E438</f>
        <v>389.8</v>
      </c>
    </row>
    <row r="438" spans="1:5" ht="30">
      <c r="A438" s="31" t="s">
        <v>77</v>
      </c>
      <c r="B438" s="8" t="s">
        <v>273</v>
      </c>
      <c r="C438" s="9" t="s">
        <v>517</v>
      </c>
      <c r="D438" s="10">
        <v>600</v>
      </c>
      <c r="E438" s="18">
        <v>389.8</v>
      </c>
    </row>
    <row r="439" spans="1:5" ht="30">
      <c r="A439" s="32" t="s">
        <v>52</v>
      </c>
      <c r="B439" s="8" t="s">
        <v>273</v>
      </c>
      <c r="C439" s="16" t="s">
        <v>268</v>
      </c>
      <c r="D439" s="10"/>
      <c r="E439" s="18">
        <f>E440</f>
        <v>359666.69999999995</v>
      </c>
    </row>
    <row r="440" spans="1:5" ht="30">
      <c r="A440" s="31" t="s">
        <v>77</v>
      </c>
      <c r="B440" s="8" t="s">
        <v>273</v>
      </c>
      <c r="C440" s="16" t="s">
        <v>268</v>
      </c>
      <c r="D440" s="10">
        <v>600</v>
      </c>
      <c r="E440" s="18">
        <f>377290.5-14725+8828.2+142+1660.5+444.8-370.4-4137.9-9466</f>
        <v>359666.69999999995</v>
      </c>
    </row>
    <row r="441" spans="1:5">
      <c r="A441" s="31" t="s">
        <v>274</v>
      </c>
      <c r="B441" s="8" t="s">
        <v>273</v>
      </c>
      <c r="C441" s="16" t="s">
        <v>275</v>
      </c>
      <c r="D441" s="10"/>
      <c r="E441" s="18">
        <f>E442</f>
        <v>48925.5</v>
      </c>
    </row>
    <row r="442" spans="1:5" ht="30">
      <c r="A442" s="46" t="s">
        <v>126</v>
      </c>
      <c r="B442" s="8" t="s">
        <v>273</v>
      </c>
      <c r="C442" s="16" t="s">
        <v>275</v>
      </c>
      <c r="D442" s="10">
        <v>400</v>
      </c>
      <c r="E442" s="18">
        <f>37625+2000+9300.5</f>
        <v>48925.5</v>
      </c>
    </row>
    <row r="443" spans="1:5" ht="90">
      <c r="A443" s="46" t="s">
        <v>553</v>
      </c>
      <c r="B443" s="8" t="s">
        <v>273</v>
      </c>
      <c r="C443" s="16" t="s">
        <v>549</v>
      </c>
      <c r="D443" s="10"/>
      <c r="E443" s="18">
        <f>E444</f>
        <v>740</v>
      </c>
    </row>
    <row r="444" spans="1:5" ht="30">
      <c r="A444" s="31" t="s">
        <v>77</v>
      </c>
      <c r="B444" s="8" t="s">
        <v>273</v>
      </c>
      <c r="C444" s="16" t="s">
        <v>549</v>
      </c>
      <c r="D444" s="10">
        <v>600</v>
      </c>
      <c r="E444" s="18">
        <v>740</v>
      </c>
    </row>
    <row r="445" spans="1:5" ht="135">
      <c r="A445" s="31" t="s">
        <v>276</v>
      </c>
      <c r="B445" s="8" t="s">
        <v>273</v>
      </c>
      <c r="C445" s="9" t="s">
        <v>277</v>
      </c>
      <c r="D445" s="9"/>
      <c r="E445" s="18">
        <f>E446</f>
        <v>629069.20000000007</v>
      </c>
    </row>
    <row r="446" spans="1:5" ht="30">
      <c r="A446" s="31" t="s">
        <v>77</v>
      </c>
      <c r="B446" s="8" t="s">
        <v>273</v>
      </c>
      <c r="C446" s="9" t="s">
        <v>277</v>
      </c>
      <c r="D446" s="9" t="s">
        <v>271</v>
      </c>
      <c r="E446" s="18">
        <f>626898.1+0.8+2170.3</f>
        <v>629069.20000000007</v>
      </c>
    </row>
    <row r="447" spans="1:5" ht="105" hidden="1">
      <c r="A447" s="32" t="s">
        <v>269</v>
      </c>
      <c r="B447" s="8" t="s">
        <v>273</v>
      </c>
      <c r="C447" s="9" t="s">
        <v>270</v>
      </c>
      <c r="D447" s="10"/>
      <c r="E447" s="18">
        <f>E448</f>
        <v>0</v>
      </c>
    </row>
    <row r="448" spans="1:5" ht="30" hidden="1">
      <c r="A448" s="31" t="s">
        <v>77</v>
      </c>
      <c r="B448" s="8" t="s">
        <v>273</v>
      </c>
      <c r="C448" s="9" t="s">
        <v>270</v>
      </c>
      <c r="D448" s="10">
        <v>600</v>
      </c>
      <c r="E448" s="18">
        <f>27559.1-27559.1</f>
        <v>0</v>
      </c>
    </row>
    <row r="449" spans="1:5" ht="30">
      <c r="A449" s="33" t="s">
        <v>278</v>
      </c>
      <c r="B449" s="8" t="s">
        <v>273</v>
      </c>
      <c r="C449" s="9" t="s">
        <v>279</v>
      </c>
      <c r="D449" s="9"/>
      <c r="E449" s="18">
        <f>E450</f>
        <v>56850.899999999994</v>
      </c>
    </row>
    <row r="450" spans="1:5" ht="30">
      <c r="A450" s="31" t="s">
        <v>280</v>
      </c>
      <c r="B450" s="8" t="s">
        <v>273</v>
      </c>
      <c r="C450" s="9" t="s">
        <v>281</v>
      </c>
      <c r="D450" s="9"/>
      <c r="E450" s="18">
        <f>E451</f>
        <v>56850.899999999994</v>
      </c>
    </row>
    <row r="451" spans="1:5" ht="30">
      <c r="A451" s="32" t="s">
        <v>52</v>
      </c>
      <c r="B451" s="8" t="s">
        <v>273</v>
      </c>
      <c r="C451" s="9" t="s">
        <v>282</v>
      </c>
      <c r="D451" s="9"/>
      <c r="E451" s="18">
        <f>E452</f>
        <v>56850.899999999994</v>
      </c>
    </row>
    <row r="452" spans="1:5" ht="30">
      <c r="A452" s="31" t="s">
        <v>77</v>
      </c>
      <c r="B452" s="8" t="s">
        <v>273</v>
      </c>
      <c r="C452" s="9" t="s">
        <v>282</v>
      </c>
      <c r="D452" s="9" t="s">
        <v>271</v>
      </c>
      <c r="E452" s="18">
        <f>57124.7-273.8</f>
        <v>56850.899999999994</v>
      </c>
    </row>
    <row r="453" spans="1:5">
      <c r="A453" s="30" t="s">
        <v>283</v>
      </c>
      <c r="B453" s="5" t="s">
        <v>284</v>
      </c>
      <c r="C453" s="6"/>
      <c r="D453" s="5"/>
      <c r="E453" s="25">
        <f>+E454+E467</f>
        <v>26274.300000000003</v>
      </c>
    </row>
    <row r="454" spans="1:5" ht="30">
      <c r="A454" s="31" t="s">
        <v>266</v>
      </c>
      <c r="B454" s="8" t="s">
        <v>284</v>
      </c>
      <c r="C454" s="9" t="s">
        <v>285</v>
      </c>
      <c r="D454" s="10"/>
      <c r="E454" s="18">
        <f>SUM(E455)</f>
        <v>15314</v>
      </c>
    </row>
    <row r="455" spans="1:5">
      <c r="A455" s="32" t="s">
        <v>286</v>
      </c>
      <c r="B455" s="8" t="s">
        <v>284</v>
      </c>
      <c r="C455" s="9" t="s">
        <v>287</v>
      </c>
      <c r="D455" s="10"/>
      <c r="E455" s="18">
        <f>SUM(E456+E458+E460)+E463</f>
        <v>15314</v>
      </c>
    </row>
    <row r="456" spans="1:5" ht="30">
      <c r="A456" s="32" t="s">
        <v>288</v>
      </c>
      <c r="B456" s="8" t="s">
        <v>284</v>
      </c>
      <c r="C456" s="9" t="s">
        <v>289</v>
      </c>
      <c r="D456" s="10"/>
      <c r="E456" s="18">
        <f>E457</f>
        <v>2670.8</v>
      </c>
    </row>
    <row r="457" spans="1:5" ht="30">
      <c r="A457" s="31" t="s">
        <v>77</v>
      </c>
      <c r="B457" s="8" t="s">
        <v>284</v>
      </c>
      <c r="C457" s="9" t="s">
        <v>289</v>
      </c>
      <c r="D457" s="10">
        <v>600</v>
      </c>
      <c r="E457" s="18">
        <f>814+1857.4-0.6</f>
        <v>2670.8</v>
      </c>
    </row>
    <row r="458" spans="1:5" ht="30">
      <c r="A458" s="32" t="s">
        <v>52</v>
      </c>
      <c r="B458" s="8" t="s">
        <v>284</v>
      </c>
      <c r="C458" s="9" t="s">
        <v>290</v>
      </c>
      <c r="D458" s="10"/>
      <c r="E458" s="18">
        <f>E459</f>
        <v>303.7</v>
      </c>
    </row>
    <row r="459" spans="1:5" ht="30">
      <c r="A459" s="31" t="s">
        <v>77</v>
      </c>
      <c r="B459" s="8" t="s">
        <v>284</v>
      </c>
      <c r="C459" s="9" t="s">
        <v>290</v>
      </c>
      <c r="D459" s="10">
        <v>600</v>
      </c>
      <c r="E459" s="18">
        <f>748.5-444.8</f>
        <v>303.7</v>
      </c>
    </row>
    <row r="460" spans="1:5" ht="45">
      <c r="A460" s="31" t="s">
        <v>291</v>
      </c>
      <c r="B460" s="8" t="s">
        <v>284</v>
      </c>
      <c r="C460" s="9" t="s">
        <v>292</v>
      </c>
      <c r="D460" s="10"/>
      <c r="E460" s="18">
        <f>E461+E462</f>
        <v>2892.3</v>
      </c>
    </row>
    <row r="461" spans="1:5" hidden="1">
      <c r="A461" s="31" t="s">
        <v>61</v>
      </c>
      <c r="B461" s="8" t="s">
        <v>284</v>
      </c>
      <c r="C461" s="9" t="s">
        <v>292</v>
      </c>
      <c r="D461" s="10">
        <v>300</v>
      </c>
      <c r="E461" s="18">
        <f>7270.4-7270.4</f>
        <v>0</v>
      </c>
    </row>
    <row r="462" spans="1:5" ht="30">
      <c r="A462" s="31" t="s">
        <v>77</v>
      </c>
      <c r="B462" s="8" t="s">
        <v>284</v>
      </c>
      <c r="C462" s="9" t="s">
        <v>292</v>
      </c>
      <c r="D462" s="10">
        <v>600</v>
      </c>
      <c r="E462" s="18">
        <f>7270.4-1857.4-2520.7</f>
        <v>2892.3</v>
      </c>
    </row>
    <row r="463" spans="1:5" ht="90">
      <c r="A463" s="31" t="s">
        <v>535</v>
      </c>
      <c r="B463" s="8" t="s">
        <v>284</v>
      </c>
      <c r="C463" s="16" t="s">
        <v>512</v>
      </c>
      <c r="D463" s="10"/>
      <c r="E463" s="18">
        <f>SUM(E464:E466)</f>
        <v>9447.2000000000007</v>
      </c>
    </row>
    <row r="464" spans="1:5" ht="30">
      <c r="A464" s="31" t="s">
        <v>26</v>
      </c>
      <c r="B464" s="8" t="s">
        <v>284</v>
      </c>
      <c r="C464" s="16" t="s">
        <v>512</v>
      </c>
      <c r="D464" s="10">
        <v>200</v>
      </c>
      <c r="E464" s="63">
        <f>30-15</f>
        <v>15</v>
      </c>
    </row>
    <row r="465" spans="1:5">
      <c r="A465" s="31" t="s">
        <v>61</v>
      </c>
      <c r="B465" s="8" t="s">
        <v>284</v>
      </c>
      <c r="C465" s="16" t="s">
        <v>512</v>
      </c>
      <c r="D465" s="10">
        <v>300</v>
      </c>
      <c r="E465" s="63">
        <f>3570+185.5</f>
        <v>3755.5</v>
      </c>
    </row>
    <row r="466" spans="1:5" ht="30">
      <c r="A466" s="31" t="s">
        <v>77</v>
      </c>
      <c r="B466" s="8" t="s">
        <v>284</v>
      </c>
      <c r="C466" s="16" t="s">
        <v>512</v>
      </c>
      <c r="D466" s="10">
        <v>600</v>
      </c>
      <c r="E466" s="63">
        <f>5123.6+723.6-170.5</f>
        <v>5676.7000000000007</v>
      </c>
    </row>
    <row r="467" spans="1:5" ht="30">
      <c r="A467" s="31" t="s">
        <v>293</v>
      </c>
      <c r="B467" s="8" t="s">
        <v>284</v>
      </c>
      <c r="C467" s="9" t="s">
        <v>294</v>
      </c>
      <c r="D467" s="8"/>
      <c r="E467" s="18">
        <f>SUM(E468+E471)+E473</f>
        <v>10960.300000000001</v>
      </c>
    </row>
    <row r="468" spans="1:5" ht="30">
      <c r="A468" s="31" t="s">
        <v>295</v>
      </c>
      <c r="B468" s="8" t="s">
        <v>284</v>
      </c>
      <c r="C468" s="9" t="s">
        <v>296</v>
      </c>
      <c r="D468" s="10"/>
      <c r="E468" s="18">
        <f>E469+E470</f>
        <v>518.1</v>
      </c>
    </row>
    <row r="469" spans="1:5" ht="30">
      <c r="A469" s="31" t="s">
        <v>26</v>
      </c>
      <c r="B469" s="8" t="s">
        <v>284</v>
      </c>
      <c r="C469" s="9" t="s">
        <v>296</v>
      </c>
      <c r="D469" s="10">
        <v>200</v>
      </c>
      <c r="E469" s="18">
        <f>183-172.5+395.6</f>
        <v>406.1</v>
      </c>
    </row>
    <row r="470" spans="1:5">
      <c r="A470" s="54" t="s">
        <v>61</v>
      </c>
      <c r="B470" s="8" t="s">
        <v>284</v>
      </c>
      <c r="C470" s="9" t="s">
        <v>296</v>
      </c>
      <c r="D470" s="10">
        <v>300</v>
      </c>
      <c r="E470" s="18">
        <f>172.5-60.5</f>
        <v>112</v>
      </c>
    </row>
    <row r="471" spans="1:5" ht="30">
      <c r="A471" s="32" t="s">
        <v>52</v>
      </c>
      <c r="B471" s="8" t="s">
        <v>284</v>
      </c>
      <c r="C471" s="9" t="s">
        <v>297</v>
      </c>
      <c r="D471" s="10"/>
      <c r="E471" s="18">
        <f>E472</f>
        <v>9785.1</v>
      </c>
    </row>
    <row r="472" spans="1:5" ht="30">
      <c r="A472" s="31" t="s">
        <v>77</v>
      </c>
      <c r="B472" s="8" t="s">
        <v>284</v>
      </c>
      <c r="C472" s="9" t="s">
        <v>297</v>
      </c>
      <c r="D472" s="10">
        <v>600</v>
      </c>
      <c r="E472" s="18">
        <f>9003.6+319.3+462.2</f>
        <v>9785.1</v>
      </c>
    </row>
    <row r="473" spans="1:5" ht="45">
      <c r="A473" s="31" t="s">
        <v>532</v>
      </c>
      <c r="B473" s="8" t="s">
        <v>284</v>
      </c>
      <c r="C473" s="9" t="s">
        <v>516</v>
      </c>
      <c r="D473" s="10"/>
      <c r="E473" s="18">
        <f>E474</f>
        <v>657.1</v>
      </c>
    </row>
    <row r="474" spans="1:5" ht="30">
      <c r="A474" s="31" t="s">
        <v>77</v>
      </c>
      <c r="B474" s="8" t="s">
        <v>284</v>
      </c>
      <c r="C474" s="9" t="s">
        <v>516</v>
      </c>
      <c r="D474" s="10">
        <v>600</v>
      </c>
      <c r="E474" s="18">
        <v>657.1</v>
      </c>
    </row>
    <row r="475" spans="1:5">
      <c r="A475" s="30" t="s">
        <v>298</v>
      </c>
      <c r="B475" s="14" t="s">
        <v>299</v>
      </c>
      <c r="C475" s="6"/>
      <c r="D475" s="7"/>
      <c r="E475" s="25">
        <f>E476</f>
        <v>69110.599999999991</v>
      </c>
    </row>
    <row r="476" spans="1:5" ht="30">
      <c r="A476" s="35" t="s">
        <v>266</v>
      </c>
      <c r="B476" s="12" t="s">
        <v>299</v>
      </c>
      <c r="C476" s="16" t="s">
        <v>285</v>
      </c>
      <c r="D476" s="52"/>
      <c r="E476" s="22">
        <f>E477+E481</f>
        <v>69110.599999999991</v>
      </c>
    </row>
    <row r="477" spans="1:5">
      <c r="A477" s="32" t="s">
        <v>286</v>
      </c>
      <c r="B477" s="8" t="s">
        <v>299</v>
      </c>
      <c r="C477" s="16" t="s">
        <v>287</v>
      </c>
      <c r="D477" s="10"/>
      <c r="E477" s="18">
        <f>SUM(E478)</f>
        <v>6386.8</v>
      </c>
    </row>
    <row r="478" spans="1:5" ht="90">
      <c r="A478" s="31" t="s">
        <v>303</v>
      </c>
      <c r="B478" s="8" t="s">
        <v>299</v>
      </c>
      <c r="C478" s="16" t="s">
        <v>304</v>
      </c>
      <c r="D478" s="10"/>
      <c r="E478" s="18">
        <f>SUM(E479:E480)</f>
        <v>6386.8</v>
      </c>
    </row>
    <row r="479" spans="1:5" ht="60">
      <c r="A479" s="31" t="s">
        <v>13</v>
      </c>
      <c r="B479" s="8" t="s">
        <v>299</v>
      </c>
      <c r="C479" s="16" t="s">
        <v>304</v>
      </c>
      <c r="D479" s="10">
        <v>100</v>
      </c>
      <c r="E479" s="18">
        <f>5374.2+488+2</f>
        <v>5864.2</v>
      </c>
    </row>
    <row r="480" spans="1:5" ht="30">
      <c r="A480" s="31" t="s">
        <v>26</v>
      </c>
      <c r="B480" s="8" t="s">
        <v>299</v>
      </c>
      <c r="C480" s="16" t="s">
        <v>304</v>
      </c>
      <c r="D480" s="10">
        <v>200</v>
      </c>
      <c r="E480" s="18">
        <f>482.9+41.7-2</f>
        <v>522.6</v>
      </c>
    </row>
    <row r="481" spans="1:5" ht="45">
      <c r="A481" s="31" t="s">
        <v>305</v>
      </c>
      <c r="B481" s="8" t="s">
        <v>299</v>
      </c>
      <c r="C481" s="16" t="s">
        <v>550</v>
      </c>
      <c r="D481" s="10"/>
      <c r="E481" s="18">
        <f>SUM(E482+E486)</f>
        <v>62723.799999999996</v>
      </c>
    </row>
    <row r="482" spans="1:5" ht="45">
      <c r="A482" s="34" t="s">
        <v>32</v>
      </c>
      <c r="B482" s="8" t="s">
        <v>299</v>
      </c>
      <c r="C482" s="16" t="s">
        <v>306</v>
      </c>
      <c r="D482" s="10"/>
      <c r="E482" s="18">
        <f>SUM(E483:E485)</f>
        <v>20233.299999999996</v>
      </c>
    </row>
    <row r="483" spans="1:5" ht="60">
      <c r="A483" s="31" t="s">
        <v>13</v>
      </c>
      <c r="B483" s="8" t="s">
        <v>299</v>
      </c>
      <c r="C483" s="16" t="s">
        <v>306</v>
      </c>
      <c r="D483" s="10">
        <v>100</v>
      </c>
      <c r="E483" s="18">
        <f>18307.1+248+307.3-183.2</f>
        <v>18679.199999999997</v>
      </c>
    </row>
    <row r="484" spans="1:5" ht="30">
      <c r="A484" s="31" t="s">
        <v>26</v>
      </c>
      <c r="B484" s="8" t="s">
        <v>299</v>
      </c>
      <c r="C484" s="16" t="s">
        <v>306</v>
      </c>
      <c r="D484" s="10">
        <v>200</v>
      </c>
      <c r="E484" s="18">
        <v>1331.3</v>
      </c>
    </row>
    <row r="485" spans="1:5">
      <c r="A485" s="33" t="s">
        <v>27</v>
      </c>
      <c r="B485" s="8" t="s">
        <v>299</v>
      </c>
      <c r="C485" s="16" t="s">
        <v>306</v>
      </c>
      <c r="D485" s="10">
        <v>800</v>
      </c>
      <c r="E485" s="18">
        <v>222.8</v>
      </c>
    </row>
    <row r="486" spans="1:5" ht="30">
      <c r="A486" s="32" t="s">
        <v>52</v>
      </c>
      <c r="B486" s="8" t="s">
        <v>299</v>
      </c>
      <c r="C486" s="16" t="s">
        <v>307</v>
      </c>
      <c r="D486" s="10"/>
      <c r="E486" s="18">
        <f>SUM(E487:E490)</f>
        <v>42490.5</v>
      </c>
    </row>
    <row r="487" spans="1:5" ht="60">
      <c r="A487" s="31" t="s">
        <v>13</v>
      </c>
      <c r="B487" s="8" t="s">
        <v>299</v>
      </c>
      <c r="C487" s="16" t="s">
        <v>307</v>
      </c>
      <c r="D487" s="10">
        <v>100</v>
      </c>
      <c r="E487" s="18">
        <f>36448.3-796.6</f>
        <v>35651.700000000004</v>
      </c>
    </row>
    <row r="488" spans="1:5" ht="30">
      <c r="A488" s="31" t="s">
        <v>26</v>
      </c>
      <c r="B488" s="8" t="s">
        <v>299</v>
      </c>
      <c r="C488" s="16" t="s">
        <v>307</v>
      </c>
      <c r="D488" s="10">
        <v>200</v>
      </c>
      <c r="E488" s="18">
        <f>2479.4-6.2-142+1.3</f>
        <v>2332.5000000000005</v>
      </c>
    </row>
    <row r="489" spans="1:5">
      <c r="A489" s="33" t="s">
        <v>27</v>
      </c>
      <c r="B489" s="8" t="s">
        <v>299</v>
      </c>
      <c r="C489" s="16" t="s">
        <v>307</v>
      </c>
      <c r="D489" s="10">
        <v>800</v>
      </c>
      <c r="E489" s="18">
        <f>3.4+5.1-1.3-0.1</f>
        <v>7.1000000000000005</v>
      </c>
    </row>
    <row r="490" spans="1:5" ht="30">
      <c r="A490" s="31" t="s">
        <v>77</v>
      </c>
      <c r="B490" s="8" t="s">
        <v>299</v>
      </c>
      <c r="C490" s="16" t="s">
        <v>307</v>
      </c>
      <c r="D490" s="10">
        <v>600</v>
      </c>
      <c r="E490" s="18">
        <v>4499.2</v>
      </c>
    </row>
    <row r="491" spans="1:5">
      <c r="A491" s="30" t="s">
        <v>308</v>
      </c>
      <c r="B491" s="5" t="s">
        <v>309</v>
      </c>
      <c r="C491" s="17"/>
      <c r="D491" s="7"/>
      <c r="E491" s="25">
        <f>SUM(E492+E502)</f>
        <v>161652.80000000002</v>
      </c>
    </row>
    <row r="492" spans="1:5">
      <c r="A492" s="30" t="s">
        <v>310</v>
      </c>
      <c r="B492" s="5" t="s">
        <v>311</v>
      </c>
      <c r="C492" s="6"/>
      <c r="D492" s="7"/>
      <c r="E492" s="25">
        <f>SUM(E493)</f>
        <v>140011.6</v>
      </c>
    </row>
    <row r="493" spans="1:5" ht="30">
      <c r="A493" s="33" t="s">
        <v>278</v>
      </c>
      <c r="B493" s="8" t="s">
        <v>311</v>
      </c>
      <c r="C493" s="16" t="s">
        <v>279</v>
      </c>
      <c r="D493" s="10"/>
      <c r="E493" s="18">
        <f>SUM(E494+E499)</f>
        <v>140011.6</v>
      </c>
    </row>
    <row r="494" spans="1:5">
      <c r="A494" s="31" t="s">
        <v>312</v>
      </c>
      <c r="B494" s="8" t="s">
        <v>311</v>
      </c>
      <c r="C494" s="16" t="s">
        <v>313</v>
      </c>
      <c r="D494" s="10"/>
      <c r="E494" s="18">
        <f>E495+E497</f>
        <v>28337.1</v>
      </c>
    </row>
    <row r="495" spans="1:5" ht="30">
      <c r="A495" s="32" t="s">
        <v>52</v>
      </c>
      <c r="B495" s="8" t="s">
        <v>311</v>
      </c>
      <c r="C495" s="16" t="s">
        <v>314</v>
      </c>
      <c r="D495" s="10"/>
      <c r="E495" s="18">
        <f>E496</f>
        <v>28296.1</v>
      </c>
    </row>
    <row r="496" spans="1:5" ht="30">
      <c r="A496" s="31" t="s">
        <v>77</v>
      </c>
      <c r="B496" s="8" t="s">
        <v>311</v>
      </c>
      <c r="C496" s="16" t="s">
        <v>314</v>
      </c>
      <c r="D496" s="10">
        <v>600</v>
      </c>
      <c r="E496" s="18">
        <f>27463.9+572.6-288.7+381+167.3</f>
        <v>28296.1</v>
      </c>
    </row>
    <row r="497" spans="1:5" ht="96.75" customHeight="1">
      <c r="A497" s="31" t="s">
        <v>552</v>
      </c>
      <c r="B497" s="8" t="s">
        <v>311</v>
      </c>
      <c r="C497" s="16" t="s">
        <v>551</v>
      </c>
      <c r="D497" s="10"/>
      <c r="E497" s="18">
        <f>E498</f>
        <v>41</v>
      </c>
    </row>
    <row r="498" spans="1:5" ht="30">
      <c r="A498" s="31" t="s">
        <v>77</v>
      </c>
      <c r="B498" s="8" t="s">
        <v>311</v>
      </c>
      <c r="C498" s="16" t="s">
        <v>551</v>
      </c>
      <c r="D498" s="10">
        <v>600</v>
      </c>
      <c r="E498" s="18">
        <v>41</v>
      </c>
    </row>
    <row r="499" spans="1:5" ht="30">
      <c r="A499" s="31" t="s">
        <v>315</v>
      </c>
      <c r="B499" s="8" t="s">
        <v>311</v>
      </c>
      <c r="C499" s="9" t="s">
        <v>316</v>
      </c>
      <c r="D499" s="9"/>
      <c r="E499" s="18">
        <f>E500</f>
        <v>111674.5</v>
      </c>
    </row>
    <row r="500" spans="1:5" ht="30">
      <c r="A500" s="32" t="s">
        <v>52</v>
      </c>
      <c r="B500" s="8" t="s">
        <v>311</v>
      </c>
      <c r="C500" s="9" t="s">
        <v>317</v>
      </c>
      <c r="D500" s="9"/>
      <c r="E500" s="18">
        <f>E501</f>
        <v>111674.5</v>
      </c>
    </row>
    <row r="501" spans="1:5" ht="30">
      <c r="A501" s="31" t="s">
        <v>77</v>
      </c>
      <c r="B501" s="8" t="s">
        <v>311</v>
      </c>
      <c r="C501" s="9" t="s">
        <v>317</v>
      </c>
      <c r="D501" s="10">
        <v>600</v>
      </c>
      <c r="E501" s="18">
        <f>108268.9+2364.5-565.2-381+132.7+1187.6+667</f>
        <v>111674.5</v>
      </c>
    </row>
    <row r="502" spans="1:5" s="15" customFormat="1">
      <c r="A502" s="30" t="s">
        <v>318</v>
      </c>
      <c r="B502" s="5" t="s">
        <v>319</v>
      </c>
      <c r="C502" s="6"/>
      <c r="D502" s="6"/>
      <c r="E502" s="25">
        <f>SUM(E503)</f>
        <v>21641.200000000001</v>
      </c>
    </row>
    <row r="503" spans="1:5" ht="30">
      <c r="A503" s="33" t="s">
        <v>278</v>
      </c>
      <c r="B503" s="8" t="s">
        <v>319</v>
      </c>
      <c r="C503" s="9" t="s">
        <v>279</v>
      </c>
      <c r="D503" s="9"/>
      <c r="E503" s="18">
        <f>SUM(E504+E507)</f>
        <v>21641.200000000001</v>
      </c>
    </row>
    <row r="504" spans="1:5">
      <c r="A504" s="47" t="s">
        <v>320</v>
      </c>
      <c r="B504" s="8" t="s">
        <v>319</v>
      </c>
      <c r="C504" s="13" t="s">
        <v>321</v>
      </c>
      <c r="D504" s="9"/>
      <c r="E504" s="18">
        <f>E505</f>
        <v>418.3</v>
      </c>
    </row>
    <row r="505" spans="1:5">
      <c r="A505" s="31" t="s">
        <v>322</v>
      </c>
      <c r="B505" s="8" t="s">
        <v>319</v>
      </c>
      <c r="C505" s="13" t="s">
        <v>323</v>
      </c>
      <c r="D505" s="13"/>
      <c r="E505" s="22">
        <f>E506</f>
        <v>418.3</v>
      </c>
    </row>
    <row r="506" spans="1:5" ht="30">
      <c r="A506" s="31" t="s">
        <v>26</v>
      </c>
      <c r="B506" s="8" t="s">
        <v>319</v>
      </c>
      <c r="C506" s="13" t="s">
        <v>323</v>
      </c>
      <c r="D506" s="9" t="s">
        <v>39</v>
      </c>
      <c r="E506" s="22">
        <f>434-15.7</f>
        <v>418.3</v>
      </c>
    </row>
    <row r="507" spans="1:5" ht="60">
      <c r="A507" s="31" t="s">
        <v>324</v>
      </c>
      <c r="B507" s="8" t="s">
        <v>319</v>
      </c>
      <c r="C507" s="9" t="s">
        <v>325</v>
      </c>
      <c r="D507" s="9"/>
      <c r="E507" s="20">
        <f>SUM(E508+E512+E514)</f>
        <v>21222.9</v>
      </c>
    </row>
    <row r="508" spans="1:5" ht="45">
      <c r="A508" s="34" t="s">
        <v>32</v>
      </c>
      <c r="B508" s="8" t="s">
        <v>319</v>
      </c>
      <c r="C508" s="9" t="s">
        <v>326</v>
      </c>
      <c r="D508" s="9"/>
      <c r="E508" s="18">
        <f>SUM(E509:E511)</f>
        <v>6010.6</v>
      </c>
    </row>
    <row r="509" spans="1:5" ht="60">
      <c r="A509" s="31" t="s">
        <v>13</v>
      </c>
      <c r="B509" s="8" t="s">
        <v>319</v>
      </c>
      <c r="C509" s="9" t="s">
        <v>326</v>
      </c>
      <c r="D509" s="9" t="s">
        <v>38</v>
      </c>
      <c r="E509" s="18">
        <f>5620-53.3</f>
        <v>5566.7</v>
      </c>
    </row>
    <row r="510" spans="1:5" ht="30">
      <c r="A510" s="31" t="s">
        <v>26</v>
      </c>
      <c r="B510" s="8" t="s">
        <v>319</v>
      </c>
      <c r="C510" s="9" t="s">
        <v>326</v>
      </c>
      <c r="D510" s="9" t="s">
        <v>39</v>
      </c>
      <c r="E510" s="18">
        <f>324.5+45+57.7-1.3+15.7</f>
        <v>441.59999999999997</v>
      </c>
    </row>
    <row r="511" spans="1:5">
      <c r="A511" s="33" t="s">
        <v>27</v>
      </c>
      <c r="B511" s="8" t="s">
        <v>319</v>
      </c>
      <c r="C511" s="9" t="s">
        <v>326</v>
      </c>
      <c r="D511" s="9" t="s">
        <v>194</v>
      </c>
      <c r="E511" s="18">
        <f>1+52-52+1.3</f>
        <v>2.2999999999999998</v>
      </c>
    </row>
    <row r="512" spans="1:5" ht="30">
      <c r="A512" s="32" t="s">
        <v>52</v>
      </c>
      <c r="B512" s="8" t="s">
        <v>319</v>
      </c>
      <c r="C512" s="9" t="s">
        <v>327</v>
      </c>
      <c r="D512" s="9"/>
      <c r="E512" s="18">
        <f>E513</f>
        <v>11996.3</v>
      </c>
    </row>
    <row r="513" spans="1:5" ht="30">
      <c r="A513" s="31" t="s">
        <v>77</v>
      </c>
      <c r="B513" s="8" t="s">
        <v>319</v>
      </c>
      <c r="C513" s="9" t="s">
        <v>327</v>
      </c>
      <c r="D513" s="9" t="s">
        <v>271</v>
      </c>
      <c r="E513" s="18">
        <f>14976.4-2937.1-37.3-5.7</f>
        <v>11996.3</v>
      </c>
    </row>
    <row r="514" spans="1:5" ht="30">
      <c r="A514" s="32" t="s">
        <v>328</v>
      </c>
      <c r="B514" s="8" t="s">
        <v>319</v>
      </c>
      <c r="C514" s="9" t="s">
        <v>329</v>
      </c>
      <c r="D514" s="10"/>
      <c r="E514" s="18">
        <f>SUM(E515:E516)</f>
        <v>3216</v>
      </c>
    </row>
    <row r="515" spans="1:5">
      <c r="A515" s="31" t="s">
        <v>61</v>
      </c>
      <c r="B515" s="8" t="s">
        <v>319</v>
      </c>
      <c r="C515" s="9" t="s">
        <v>329</v>
      </c>
      <c r="D515" s="10">
        <v>300</v>
      </c>
      <c r="E515" s="18">
        <f>516-300</f>
        <v>216</v>
      </c>
    </row>
    <row r="516" spans="1:5" ht="30">
      <c r="A516" s="31" t="s">
        <v>77</v>
      </c>
      <c r="B516" s="8" t="s">
        <v>319</v>
      </c>
      <c r="C516" s="9" t="s">
        <v>329</v>
      </c>
      <c r="D516" s="10">
        <v>600</v>
      </c>
      <c r="E516" s="18">
        <f>3932-932</f>
        <v>3000</v>
      </c>
    </row>
    <row r="517" spans="1:5">
      <c r="A517" s="31"/>
      <c r="B517" s="8"/>
      <c r="C517" s="9"/>
      <c r="D517" s="10"/>
      <c r="E517" s="18"/>
    </row>
    <row r="518" spans="1:5">
      <c r="A518" s="4" t="s">
        <v>419</v>
      </c>
      <c r="B518" s="5" t="s">
        <v>423</v>
      </c>
      <c r="C518" s="9"/>
      <c r="D518" s="10"/>
      <c r="E518" s="25">
        <f>E519</f>
        <v>10701</v>
      </c>
    </row>
    <row r="519" spans="1:5" s="15" customFormat="1">
      <c r="A519" s="4" t="s">
        <v>420</v>
      </c>
      <c r="B519" s="5" t="s">
        <v>424</v>
      </c>
      <c r="C519" s="6"/>
      <c r="D519" s="7"/>
      <c r="E519" s="25">
        <f>E520</f>
        <v>10701</v>
      </c>
    </row>
    <row r="520" spans="1:5">
      <c r="A520" s="54" t="s">
        <v>16</v>
      </c>
      <c r="B520" s="8" t="s">
        <v>424</v>
      </c>
      <c r="C520" s="9" t="s">
        <v>17</v>
      </c>
      <c r="D520" s="10"/>
      <c r="E520" s="18">
        <f>E521</f>
        <v>10701</v>
      </c>
    </row>
    <row r="521" spans="1:5" ht="41.25">
      <c r="A521" s="58" t="s">
        <v>421</v>
      </c>
      <c r="B521" s="8" t="s">
        <v>424</v>
      </c>
      <c r="C521" s="9" t="s">
        <v>425</v>
      </c>
      <c r="D521" s="10"/>
      <c r="E521" s="18">
        <f>E522</f>
        <v>10701</v>
      </c>
    </row>
    <row r="522" spans="1:5" ht="27.75">
      <c r="A522" s="61" t="s">
        <v>422</v>
      </c>
      <c r="B522" s="8" t="s">
        <v>424</v>
      </c>
      <c r="C522" s="9" t="s">
        <v>426</v>
      </c>
      <c r="D522" s="10"/>
      <c r="E522" s="18">
        <f>E523</f>
        <v>10701</v>
      </c>
    </row>
    <row r="523" spans="1:5" ht="30">
      <c r="A523" s="55" t="s">
        <v>126</v>
      </c>
      <c r="B523" s="8" t="s">
        <v>424</v>
      </c>
      <c r="C523" s="9" t="s">
        <v>426</v>
      </c>
      <c r="D523" s="10">
        <v>400</v>
      </c>
      <c r="E523" s="18">
        <v>10701</v>
      </c>
    </row>
    <row r="524" spans="1:5">
      <c r="A524" s="31"/>
      <c r="B524" s="8"/>
      <c r="C524" s="9"/>
      <c r="D524" s="10"/>
      <c r="E524" s="18"/>
    </row>
    <row r="525" spans="1:5">
      <c r="A525" s="38" t="s">
        <v>330</v>
      </c>
      <c r="B525" s="5" t="s">
        <v>331</v>
      </c>
      <c r="C525" s="14"/>
      <c r="D525" s="53"/>
      <c r="E525" s="26">
        <f>+E526+E530+E559</f>
        <v>184753.8</v>
      </c>
    </row>
    <row r="526" spans="1:5">
      <c r="A526" s="30" t="s">
        <v>332</v>
      </c>
      <c r="B526" s="5" t="s">
        <v>333</v>
      </c>
      <c r="C526" s="6"/>
      <c r="D526" s="7"/>
      <c r="E526" s="25">
        <f>E527</f>
        <v>8335.7999999999993</v>
      </c>
    </row>
    <row r="527" spans="1:5">
      <c r="A527" s="31" t="s">
        <v>16</v>
      </c>
      <c r="B527" s="8" t="s">
        <v>333</v>
      </c>
      <c r="C527" s="9" t="s">
        <v>17</v>
      </c>
      <c r="D527" s="10"/>
      <c r="E527" s="18">
        <f>E528</f>
        <v>8335.7999999999993</v>
      </c>
    </row>
    <row r="528" spans="1:5">
      <c r="A528" s="31" t="s">
        <v>334</v>
      </c>
      <c r="B528" s="8" t="s">
        <v>333</v>
      </c>
      <c r="C528" s="9" t="s">
        <v>335</v>
      </c>
      <c r="D528" s="10"/>
      <c r="E528" s="18">
        <f>E529</f>
        <v>8335.7999999999993</v>
      </c>
    </row>
    <row r="529" spans="1:5">
      <c r="A529" s="31" t="s">
        <v>61</v>
      </c>
      <c r="B529" s="8" t="s">
        <v>333</v>
      </c>
      <c r="C529" s="9" t="s">
        <v>335</v>
      </c>
      <c r="D529" s="10">
        <v>300</v>
      </c>
      <c r="E529" s="18">
        <f>7190.4-72+168.4+656+369.5+23.5</f>
        <v>8335.7999999999993</v>
      </c>
    </row>
    <row r="530" spans="1:5" s="15" customFormat="1" ht="18.75" customHeight="1">
      <c r="A530" s="30" t="s">
        <v>406</v>
      </c>
      <c r="B530" s="5" t="s">
        <v>336</v>
      </c>
      <c r="C530" s="6"/>
      <c r="D530" s="7"/>
      <c r="E530" s="25">
        <f>E531+E546</f>
        <v>13094.4</v>
      </c>
    </row>
    <row r="531" spans="1:5">
      <c r="A531" s="31" t="s">
        <v>16</v>
      </c>
      <c r="B531" s="8" t="s">
        <v>336</v>
      </c>
      <c r="C531" s="9" t="s">
        <v>17</v>
      </c>
      <c r="D531" s="10"/>
      <c r="E531" s="18">
        <f>E532+E534+E536+E538+E540+E543</f>
        <v>5329.7</v>
      </c>
    </row>
    <row r="532" spans="1:5" ht="30">
      <c r="A532" s="31" t="s">
        <v>337</v>
      </c>
      <c r="B532" s="8" t="s">
        <v>336</v>
      </c>
      <c r="C532" s="9" t="s">
        <v>338</v>
      </c>
      <c r="D532" s="10"/>
      <c r="E532" s="18">
        <f>E533</f>
        <v>1173.6000000000001</v>
      </c>
    </row>
    <row r="533" spans="1:5">
      <c r="A533" s="31" t="s">
        <v>61</v>
      </c>
      <c r="B533" s="8" t="s">
        <v>336</v>
      </c>
      <c r="C533" s="9" t="s">
        <v>338</v>
      </c>
      <c r="D533" s="10">
        <v>300</v>
      </c>
      <c r="E533" s="18">
        <f>1466.4-292-0.8</f>
        <v>1173.6000000000001</v>
      </c>
    </row>
    <row r="534" spans="1:5" ht="45">
      <c r="A534" s="31" t="s">
        <v>339</v>
      </c>
      <c r="B534" s="8" t="s">
        <v>336</v>
      </c>
      <c r="C534" s="9" t="s">
        <v>340</v>
      </c>
      <c r="D534" s="10"/>
      <c r="E534" s="18">
        <f>E535</f>
        <v>2355.6</v>
      </c>
    </row>
    <row r="535" spans="1:5">
      <c r="A535" s="31" t="s">
        <v>61</v>
      </c>
      <c r="B535" s="8" t="s">
        <v>336</v>
      </c>
      <c r="C535" s="9" t="s">
        <v>340</v>
      </c>
      <c r="D535" s="10">
        <v>300</v>
      </c>
      <c r="E535" s="18">
        <f>2926-103.4-75-364-28</f>
        <v>2355.6</v>
      </c>
    </row>
    <row r="536" spans="1:5" ht="30">
      <c r="A536" s="32" t="s">
        <v>341</v>
      </c>
      <c r="B536" s="8" t="s">
        <v>336</v>
      </c>
      <c r="C536" s="9" t="s">
        <v>342</v>
      </c>
      <c r="D536" s="10"/>
      <c r="E536" s="18">
        <f>E537</f>
        <v>115</v>
      </c>
    </row>
    <row r="537" spans="1:5">
      <c r="A537" s="31" t="s">
        <v>61</v>
      </c>
      <c r="B537" s="8" t="s">
        <v>336</v>
      </c>
      <c r="C537" s="9" t="s">
        <v>342</v>
      </c>
      <c r="D537" s="10">
        <v>300</v>
      </c>
      <c r="E537" s="22">
        <f>287.5-172.5</f>
        <v>115</v>
      </c>
    </row>
    <row r="538" spans="1:5">
      <c r="A538" s="31" t="s">
        <v>343</v>
      </c>
      <c r="B538" s="8" t="s">
        <v>336</v>
      </c>
      <c r="C538" s="9" t="s">
        <v>344</v>
      </c>
      <c r="D538" s="10"/>
      <c r="E538" s="18">
        <f>E539</f>
        <v>910.5</v>
      </c>
    </row>
    <row r="539" spans="1:5" ht="30">
      <c r="A539" s="31" t="s">
        <v>77</v>
      </c>
      <c r="B539" s="8" t="s">
        <v>336</v>
      </c>
      <c r="C539" s="9" t="s">
        <v>344</v>
      </c>
      <c r="D539" s="10">
        <v>600</v>
      </c>
      <c r="E539" s="18">
        <f>759.5+151</f>
        <v>910.5</v>
      </c>
    </row>
    <row r="540" spans="1:5">
      <c r="A540" s="31" t="s">
        <v>345</v>
      </c>
      <c r="B540" s="8" t="s">
        <v>336</v>
      </c>
      <c r="C540" s="9" t="s">
        <v>346</v>
      </c>
      <c r="D540" s="10"/>
      <c r="E540" s="18">
        <f>E541+E542</f>
        <v>775</v>
      </c>
    </row>
    <row r="541" spans="1:5" hidden="1">
      <c r="A541" s="31" t="s">
        <v>61</v>
      </c>
      <c r="B541" s="8" t="s">
        <v>336</v>
      </c>
      <c r="C541" s="9" t="s">
        <v>346</v>
      </c>
      <c r="D541" s="10">
        <v>300</v>
      </c>
      <c r="E541" s="18">
        <f>775-775</f>
        <v>0</v>
      </c>
    </row>
    <row r="542" spans="1:5" ht="30">
      <c r="A542" s="31" t="s">
        <v>77</v>
      </c>
      <c r="B542" s="8" t="s">
        <v>336</v>
      </c>
      <c r="C542" s="9" t="s">
        <v>346</v>
      </c>
      <c r="D542" s="10">
        <v>600</v>
      </c>
      <c r="E542" s="18">
        <v>775</v>
      </c>
    </row>
    <row r="543" spans="1:5" ht="41.25" hidden="1">
      <c r="A543" s="58" t="s">
        <v>421</v>
      </c>
      <c r="B543" s="8" t="s">
        <v>336</v>
      </c>
      <c r="C543" s="9" t="s">
        <v>425</v>
      </c>
      <c r="D543" s="10"/>
      <c r="E543" s="18">
        <f>E544</f>
        <v>0</v>
      </c>
    </row>
    <row r="544" spans="1:5" ht="94.5" hidden="1" customHeight="1">
      <c r="A544" s="68" t="s">
        <v>427</v>
      </c>
      <c r="B544" s="8" t="s">
        <v>336</v>
      </c>
      <c r="C544" s="9" t="s">
        <v>428</v>
      </c>
      <c r="D544" s="10"/>
      <c r="E544" s="18">
        <f>E545</f>
        <v>0</v>
      </c>
    </row>
    <row r="545" spans="1:5" ht="30" hidden="1">
      <c r="A545" s="54" t="s">
        <v>26</v>
      </c>
      <c r="B545" s="8" t="s">
        <v>336</v>
      </c>
      <c r="C545" s="9" t="s">
        <v>428</v>
      </c>
      <c r="D545" s="10">
        <v>200</v>
      </c>
      <c r="E545" s="18">
        <f>760-760</f>
        <v>0</v>
      </c>
    </row>
    <row r="546" spans="1:5" ht="45">
      <c r="A546" s="35" t="s">
        <v>62</v>
      </c>
      <c r="B546" s="8" t="s">
        <v>336</v>
      </c>
      <c r="C546" s="12" t="s">
        <v>63</v>
      </c>
      <c r="D546" s="52"/>
      <c r="E546" s="22">
        <f>SUM(E547+E550)</f>
        <v>7764.7</v>
      </c>
    </row>
    <row r="547" spans="1:5" ht="30">
      <c r="A547" s="35" t="s">
        <v>347</v>
      </c>
      <c r="B547" s="8" t="s">
        <v>336</v>
      </c>
      <c r="C547" s="12" t="s">
        <v>348</v>
      </c>
      <c r="D547" s="52"/>
      <c r="E547" s="22">
        <f>SUM(E548)</f>
        <v>2050.1999999999998</v>
      </c>
    </row>
    <row r="548" spans="1:5" ht="60">
      <c r="A548" s="35" t="s">
        <v>349</v>
      </c>
      <c r="B548" s="8" t="s">
        <v>336</v>
      </c>
      <c r="C548" s="12" t="s">
        <v>350</v>
      </c>
      <c r="D548" s="52"/>
      <c r="E548" s="22">
        <f>SUM(E549)</f>
        <v>2050.1999999999998</v>
      </c>
    </row>
    <row r="549" spans="1:5">
      <c r="A549" s="31" t="s">
        <v>61</v>
      </c>
      <c r="B549" s="8" t="s">
        <v>336</v>
      </c>
      <c r="C549" s="12" t="s">
        <v>350</v>
      </c>
      <c r="D549" s="52">
        <v>300</v>
      </c>
      <c r="E549" s="22">
        <f>2325+45.2-320</f>
        <v>2050.1999999999998</v>
      </c>
    </row>
    <row r="550" spans="1:5">
      <c r="A550" s="35" t="s">
        <v>351</v>
      </c>
      <c r="B550" s="8" t="s">
        <v>336</v>
      </c>
      <c r="C550" s="12" t="s">
        <v>352</v>
      </c>
      <c r="D550" s="52"/>
      <c r="E550" s="22">
        <f>SUM(E553)+E551+E557+E555</f>
        <v>5714.5</v>
      </c>
    </row>
    <row r="551" spans="1:5" ht="135">
      <c r="A551" s="68" t="s">
        <v>513</v>
      </c>
      <c r="B551" s="12" t="s">
        <v>336</v>
      </c>
      <c r="C551" s="12" t="s">
        <v>488</v>
      </c>
      <c r="D551" s="52"/>
      <c r="E551" s="22">
        <f>E552</f>
        <v>1683.1</v>
      </c>
    </row>
    <row r="552" spans="1:5">
      <c r="A552" s="31" t="s">
        <v>61</v>
      </c>
      <c r="B552" s="12" t="s">
        <v>336</v>
      </c>
      <c r="C552" s="12" t="s">
        <v>488</v>
      </c>
      <c r="D552" s="52">
        <v>300</v>
      </c>
      <c r="E552" s="22">
        <f>14.3+1668.8</f>
        <v>1683.1</v>
      </c>
    </row>
    <row r="553" spans="1:5" ht="30">
      <c r="A553" s="35" t="s">
        <v>353</v>
      </c>
      <c r="B553" s="8" t="s">
        <v>336</v>
      </c>
      <c r="C553" s="12" t="s">
        <v>354</v>
      </c>
      <c r="D553" s="52"/>
      <c r="E553" s="22">
        <f>SUM(E554)</f>
        <v>1941.5</v>
      </c>
    </row>
    <row r="554" spans="1:5">
      <c r="A554" s="36" t="s">
        <v>355</v>
      </c>
      <c r="B554" s="8" t="s">
        <v>336</v>
      </c>
      <c r="C554" s="12" t="s">
        <v>354</v>
      </c>
      <c r="D554" s="52">
        <v>300</v>
      </c>
      <c r="E554" s="22">
        <f>2000-58.5</f>
        <v>1941.5</v>
      </c>
    </row>
    <row r="555" spans="1:5" ht="135">
      <c r="A555" s="36" t="s">
        <v>513</v>
      </c>
      <c r="B555" s="8" t="s">
        <v>336</v>
      </c>
      <c r="C555" s="12" t="s">
        <v>526</v>
      </c>
      <c r="D555" s="52"/>
      <c r="E555" s="22">
        <f>E556</f>
        <v>1909.9</v>
      </c>
    </row>
    <row r="556" spans="1:5">
      <c r="A556" s="36" t="s">
        <v>355</v>
      </c>
      <c r="B556" s="8" t="s">
        <v>336</v>
      </c>
      <c r="C556" s="12" t="s">
        <v>526</v>
      </c>
      <c r="D556" s="52">
        <v>300</v>
      </c>
      <c r="E556" s="22">
        <v>1909.9</v>
      </c>
    </row>
    <row r="557" spans="1:5" ht="135">
      <c r="A557" s="70" t="s">
        <v>536</v>
      </c>
      <c r="B557" s="12" t="s">
        <v>336</v>
      </c>
      <c r="C557" s="12" t="s">
        <v>495</v>
      </c>
      <c r="D557" s="52"/>
      <c r="E557" s="22">
        <f>E558</f>
        <v>180</v>
      </c>
    </row>
    <row r="558" spans="1:5">
      <c r="A558" s="36" t="s">
        <v>355</v>
      </c>
      <c r="B558" s="12" t="s">
        <v>336</v>
      </c>
      <c r="C558" s="12" t="s">
        <v>495</v>
      </c>
      <c r="D558" s="52">
        <v>300</v>
      </c>
      <c r="E558" s="22">
        <v>180</v>
      </c>
    </row>
    <row r="559" spans="1:5">
      <c r="A559" s="38" t="s">
        <v>356</v>
      </c>
      <c r="B559" s="5" t="s">
        <v>357</v>
      </c>
      <c r="C559" s="14"/>
      <c r="D559" s="14"/>
      <c r="E559" s="26">
        <f>E560+E566</f>
        <v>163323.6</v>
      </c>
    </row>
    <row r="560" spans="1:5">
      <c r="A560" s="31" t="s">
        <v>16</v>
      </c>
      <c r="B560" s="8" t="s">
        <v>357</v>
      </c>
      <c r="C560" s="9" t="s">
        <v>17</v>
      </c>
      <c r="D560" s="14"/>
      <c r="E560" s="22">
        <f>E561</f>
        <v>47232</v>
      </c>
    </row>
    <row r="561" spans="1:5">
      <c r="A561" s="33" t="s">
        <v>34</v>
      </c>
      <c r="B561" s="8" t="s">
        <v>357</v>
      </c>
      <c r="C561" s="9" t="s">
        <v>35</v>
      </c>
      <c r="D561" s="12"/>
      <c r="E561" s="22">
        <f>SUM(E564+E562)</f>
        <v>47232</v>
      </c>
    </row>
    <row r="562" spans="1:5" ht="135">
      <c r="A562" s="70" t="s">
        <v>431</v>
      </c>
      <c r="B562" s="12" t="s">
        <v>357</v>
      </c>
      <c r="C562" s="9" t="s">
        <v>432</v>
      </c>
      <c r="D562" s="12"/>
      <c r="E562" s="22">
        <f>E563</f>
        <v>28782</v>
      </c>
    </row>
    <row r="563" spans="1:5" ht="30">
      <c r="A563" s="55" t="s">
        <v>126</v>
      </c>
      <c r="B563" s="12" t="s">
        <v>357</v>
      </c>
      <c r="C563" s="9" t="s">
        <v>432</v>
      </c>
      <c r="D563" s="12" t="s">
        <v>360</v>
      </c>
      <c r="E563" s="22">
        <v>28782</v>
      </c>
    </row>
    <row r="564" spans="1:5" ht="135">
      <c r="A564" s="31" t="s">
        <v>358</v>
      </c>
      <c r="B564" s="8" t="s">
        <v>357</v>
      </c>
      <c r="C564" s="9" t="s">
        <v>359</v>
      </c>
      <c r="D564" s="12"/>
      <c r="E564" s="22">
        <f>SUM(E565)</f>
        <v>18450</v>
      </c>
    </row>
    <row r="565" spans="1:5" ht="30">
      <c r="A565" s="36" t="s">
        <v>126</v>
      </c>
      <c r="B565" s="8" t="s">
        <v>357</v>
      </c>
      <c r="C565" s="9" t="s">
        <v>359</v>
      </c>
      <c r="D565" s="12" t="s">
        <v>360</v>
      </c>
      <c r="E565" s="22">
        <v>18450</v>
      </c>
    </row>
    <row r="566" spans="1:5" ht="30">
      <c r="A566" s="31" t="s">
        <v>266</v>
      </c>
      <c r="B566" s="8" t="s">
        <v>357</v>
      </c>
      <c r="C566" s="9" t="s">
        <v>285</v>
      </c>
      <c r="D566" s="8"/>
      <c r="E566" s="18">
        <f>SUM(E567+E570)</f>
        <v>116091.6</v>
      </c>
    </row>
    <row r="567" spans="1:5" ht="30">
      <c r="A567" s="32" t="s">
        <v>267</v>
      </c>
      <c r="B567" s="8" t="s">
        <v>357</v>
      </c>
      <c r="C567" s="9" t="s">
        <v>300</v>
      </c>
      <c r="D567" s="8"/>
      <c r="E567" s="18">
        <f>SUM(E568)</f>
        <v>67435.5</v>
      </c>
    </row>
    <row r="568" spans="1:5" ht="105">
      <c r="A568" s="33" t="s">
        <v>361</v>
      </c>
      <c r="B568" s="8" t="s">
        <v>357</v>
      </c>
      <c r="C568" s="9" t="s">
        <v>362</v>
      </c>
      <c r="D568" s="10"/>
      <c r="E568" s="18">
        <f>E569</f>
        <v>67435.5</v>
      </c>
    </row>
    <row r="569" spans="1:5" ht="30">
      <c r="A569" s="31" t="s">
        <v>77</v>
      </c>
      <c r="B569" s="8" t="s">
        <v>357</v>
      </c>
      <c r="C569" s="9" t="s">
        <v>362</v>
      </c>
      <c r="D569" s="10">
        <v>600</v>
      </c>
      <c r="E569" s="18">
        <f>52496.7+6527.3+8411.5</f>
        <v>67435.5</v>
      </c>
    </row>
    <row r="570" spans="1:5">
      <c r="A570" s="32" t="s">
        <v>286</v>
      </c>
      <c r="B570" s="8" t="s">
        <v>357</v>
      </c>
      <c r="C570" s="9" t="s">
        <v>287</v>
      </c>
      <c r="D570" s="8"/>
      <c r="E570" s="18">
        <f>SUM(E574+E577+E571)</f>
        <v>48656.1</v>
      </c>
    </row>
    <row r="571" spans="1:5" ht="75">
      <c r="A571" s="62" t="s">
        <v>465</v>
      </c>
      <c r="B571" s="8" t="s">
        <v>357</v>
      </c>
      <c r="C571" s="9" t="s">
        <v>364</v>
      </c>
      <c r="D571" s="10"/>
      <c r="E571" s="18">
        <f>E572+E573</f>
        <v>4088.6</v>
      </c>
    </row>
    <row r="572" spans="1:5" ht="30">
      <c r="A572" s="54" t="s">
        <v>26</v>
      </c>
      <c r="B572" s="8" t="s">
        <v>357</v>
      </c>
      <c r="C572" s="9" t="s">
        <v>364</v>
      </c>
      <c r="D572" s="10">
        <v>200</v>
      </c>
      <c r="E572" s="18">
        <v>20.399999999999999</v>
      </c>
    </row>
    <row r="573" spans="1:5">
      <c r="A573" s="31" t="s">
        <v>61</v>
      </c>
      <c r="B573" s="8" t="s">
        <v>357</v>
      </c>
      <c r="C573" s="9" t="s">
        <v>364</v>
      </c>
      <c r="D573" s="10">
        <v>300</v>
      </c>
      <c r="E573" s="18">
        <f>4088.5-20.4+0.1</f>
        <v>4068.2</v>
      </c>
    </row>
    <row r="574" spans="1:5" ht="105">
      <c r="A574" s="47" t="s">
        <v>397</v>
      </c>
      <c r="B574" s="8" t="s">
        <v>357</v>
      </c>
      <c r="C574" s="9" t="s">
        <v>411</v>
      </c>
      <c r="D574" s="10"/>
      <c r="E574" s="18">
        <f>E575+E576</f>
        <v>274.10000000000002</v>
      </c>
    </row>
    <row r="575" spans="1:5" ht="30">
      <c r="A575" s="54" t="s">
        <v>26</v>
      </c>
      <c r="B575" s="8" t="s">
        <v>357</v>
      </c>
      <c r="C575" s="9" t="s">
        <v>411</v>
      </c>
      <c r="D575" s="10">
        <v>200</v>
      </c>
      <c r="E575" s="18">
        <v>5</v>
      </c>
    </row>
    <row r="576" spans="1:5">
      <c r="A576" s="31" t="s">
        <v>61</v>
      </c>
      <c r="B576" s="8" t="s">
        <v>357</v>
      </c>
      <c r="C576" s="9" t="s">
        <v>411</v>
      </c>
      <c r="D576" s="10">
        <v>300</v>
      </c>
      <c r="E576" s="18">
        <f>1006.3+0.2-737.4</f>
        <v>269.10000000000002</v>
      </c>
    </row>
    <row r="577" spans="1:5" ht="105">
      <c r="A577" s="47" t="s">
        <v>363</v>
      </c>
      <c r="B577" s="8" t="s">
        <v>357</v>
      </c>
      <c r="C577" s="9" t="s">
        <v>412</v>
      </c>
      <c r="D577" s="10"/>
      <c r="E577" s="18">
        <f>E578+E579</f>
        <v>44293.4</v>
      </c>
    </row>
    <row r="578" spans="1:5" ht="30">
      <c r="A578" s="54" t="s">
        <v>26</v>
      </c>
      <c r="B578" s="8" t="s">
        <v>357</v>
      </c>
      <c r="C578" s="9" t="s">
        <v>412</v>
      </c>
      <c r="D578" s="10">
        <v>200</v>
      </c>
      <c r="E578" s="18">
        <f>3055.7+1210.5</f>
        <v>4266.2</v>
      </c>
    </row>
    <row r="579" spans="1:5">
      <c r="A579" s="31" t="s">
        <v>61</v>
      </c>
      <c r="B579" s="8" t="s">
        <v>357</v>
      </c>
      <c r="C579" s="9" t="s">
        <v>412</v>
      </c>
      <c r="D579" s="10">
        <v>300</v>
      </c>
      <c r="E579" s="18">
        <f>38536.8-3055.7+4546.1</f>
        <v>40027.200000000004</v>
      </c>
    </row>
    <row r="580" spans="1:5">
      <c r="A580" s="30" t="s">
        <v>365</v>
      </c>
      <c r="B580" s="5" t="s">
        <v>366</v>
      </c>
      <c r="C580" s="6"/>
      <c r="D580" s="7"/>
      <c r="E580" s="25">
        <f>E581+E585</f>
        <v>27550.3</v>
      </c>
    </row>
    <row r="581" spans="1:5">
      <c r="A581" s="30" t="s">
        <v>367</v>
      </c>
      <c r="B581" s="5" t="s">
        <v>368</v>
      </c>
      <c r="C581" s="6"/>
      <c r="D581" s="7"/>
      <c r="E581" s="25">
        <f>E582</f>
        <v>21027.3</v>
      </c>
    </row>
    <row r="582" spans="1:5" ht="30">
      <c r="A582" s="31" t="s">
        <v>369</v>
      </c>
      <c r="B582" s="8" t="s">
        <v>368</v>
      </c>
      <c r="C582" s="9" t="s">
        <v>370</v>
      </c>
      <c r="D582" s="10"/>
      <c r="E582" s="18">
        <f>E583</f>
        <v>21027.3</v>
      </c>
    </row>
    <row r="583" spans="1:5" ht="30">
      <c r="A583" s="32" t="s">
        <v>52</v>
      </c>
      <c r="B583" s="8" t="s">
        <v>368</v>
      </c>
      <c r="C583" s="9" t="s">
        <v>371</v>
      </c>
      <c r="D583" s="10"/>
      <c r="E583" s="18">
        <f>E584</f>
        <v>21027.3</v>
      </c>
    </row>
    <row r="584" spans="1:5" ht="30">
      <c r="A584" s="31" t="s">
        <v>77</v>
      </c>
      <c r="B584" s="8" t="s">
        <v>368</v>
      </c>
      <c r="C584" s="9" t="s">
        <v>371</v>
      </c>
      <c r="D584" s="10">
        <v>600</v>
      </c>
      <c r="E584" s="18">
        <f>22094-1066.7</f>
        <v>21027.3</v>
      </c>
    </row>
    <row r="585" spans="1:5">
      <c r="A585" s="30" t="s">
        <v>372</v>
      </c>
      <c r="B585" s="5" t="s">
        <v>373</v>
      </c>
      <c r="C585" s="6"/>
      <c r="D585" s="7"/>
      <c r="E585" s="25">
        <f>E586</f>
        <v>6522.9999999999991</v>
      </c>
    </row>
    <row r="586" spans="1:5" ht="30">
      <c r="A586" s="31" t="s">
        <v>369</v>
      </c>
      <c r="B586" s="8" t="s">
        <v>373</v>
      </c>
      <c r="C586" s="9" t="s">
        <v>370</v>
      </c>
      <c r="D586" s="10"/>
      <c r="E586" s="18">
        <f>SUM(E587+E590+E594+E598)+E592</f>
        <v>6522.9999999999991</v>
      </c>
    </row>
    <row r="587" spans="1:5" ht="30">
      <c r="A587" s="31" t="s">
        <v>374</v>
      </c>
      <c r="B587" s="8" t="s">
        <v>373</v>
      </c>
      <c r="C587" s="9" t="s">
        <v>375</v>
      </c>
      <c r="D587" s="10"/>
      <c r="E587" s="18">
        <f>E588+E589</f>
        <v>737.4</v>
      </c>
    </row>
    <row r="588" spans="1:5" ht="30">
      <c r="A588" s="31" t="s">
        <v>26</v>
      </c>
      <c r="B588" s="8" t="s">
        <v>373</v>
      </c>
      <c r="C588" s="9" t="s">
        <v>375</v>
      </c>
      <c r="D588" s="10">
        <v>200</v>
      </c>
      <c r="E588" s="18">
        <f>492-54.6</f>
        <v>437.4</v>
      </c>
    </row>
    <row r="589" spans="1:5" ht="30">
      <c r="A589" s="31" t="s">
        <v>77</v>
      </c>
      <c r="B589" s="8" t="s">
        <v>373</v>
      </c>
      <c r="C589" s="9" t="s">
        <v>375</v>
      </c>
      <c r="D589" s="10">
        <v>600</v>
      </c>
      <c r="E589" s="18">
        <v>300</v>
      </c>
    </row>
    <row r="590" spans="1:5" ht="30">
      <c r="A590" s="31" t="s">
        <v>376</v>
      </c>
      <c r="B590" s="8" t="s">
        <v>373</v>
      </c>
      <c r="C590" s="9" t="s">
        <v>377</v>
      </c>
      <c r="D590" s="10"/>
      <c r="E590" s="18">
        <f>E591</f>
        <v>4372.7</v>
      </c>
    </row>
    <row r="591" spans="1:5" ht="30">
      <c r="A591" s="31" t="s">
        <v>26</v>
      </c>
      <c r="B591" s="8" t="s">
        <v>373</v>
      </c>
      <c r="C591" s="9" t="s">
        <v>377</v>
      </c>
      <c r="D591" s="10">
        <v>200</v>
      </c>
      <c r="E591" s="18">
        <f>3282.7+630+460</f>
        <v>4372.7</v>
      </c>
    </row>
    <row r="592" spans="1:5" ht="39" customHeight="1">
      <c r="A592" s="31" t="s">
        <v>557</v>
      </c>
      <c r="B592" s="8" t="s">
        <v>373</v>
      </c>
      <c r="C592" s="9" t="s">
        <v>544</v>
      </c>
      <c r="D592" s="10"/>
      <c r="E592" s="18">
        <f>E593</f>
        <v>680.19999999999993</v>
      </c>
    </row>
    <row r="593" spans="1:5" ht="30">
      <c r="A593" s="31" t="s">
        <v>26</v>
      </c>
      <c r="B593" s="8" t="s">
        <v>373</v>
      </c>
      <c r="C593" s="9" t="s">
        <v>544</v>
      </c>
      <c r="D593" s="10">
        <v>200</v>
      </c>
      <c r="E593" s="18">
        <f>698.3-18.1</f>
        <v>680.19999999999993</v>
      </c>
    </row>
    <row r="594" spans="1:5" ht="30">
      <c r="A594" s="31" t="s">
        <v>378</v>
      </c>
      <c r="B594" s="8" t="s">
        <v>373</v>
      </c>
      <c r="C594" s="9" t="s">
        <v>379</v>
      </c>
      <c r="D594" s="10"/>
      <c r="E594" s="18">
        <f>E595+E597+E596</f>
        <v>380</v>
      </c>
    </row>
    <row r="595" spans="1:5" ht="30" hidden="1">
      <c r="A595" s="31" t="s">
        <v>26</v>
      </c>
      <c r="B595" s="8" t="s">
        <v>373</v>
      </c>
      <c r="C595" s="9" t="s">
        <v>379</v>
      </c>
      <c r="D595" s="10">
        <v>200</v>
      </c>
      <c r="E595" s="18">
        <f>3470-3470</f>
        <v>0</v>
      </c>
    </row>
    <row r="596" spans="1:5">
      <c r="A596" s="54" t="s">
        <v>61</v>
      </c>
      <c r="B596" s="8" t="s">
        <v>373</v>
      </c>
      <c r="C596" s="9" t="s">
        <v>379</v>
      </c>
      <c r="D596" s="10">
        <v>300</v>
      </c>
      <c r="E596" s="18">
        <f>840-460</f>
        <v>380</v>
      </c>
    </row>
    <row r="597" spans="1:5" ht="30" hidden="1">
      <c r="A597" s="55" t="s">
        <v>77</v>
      </c>
      <c r="B597" s="8" t="s">
        <v>373</v>
      </c>
      <c r="C597" s="9" t="s">
        <v>379</v>
      </c>
      <c r="D597" s="10">
        <v>600</v>
      </c>
      <c r="E597" s="18">
        <f>2000-2000</f>
        <v>0</v>
      </c>
    </row>
    <row r="598" spans="1:5" ht="30">
      <c r="A598" s="31" t="s">
        <v>380</v>
      </c>
      <c r="B598" s="8" t="s">
        <v>373</v>
      </c>
      <c r="C598" s="9" t="s">
        <v>381</v>
      </c>
      <c r="D598" s="10"/>
      <c r="E598" s="18">
        <f>E599</f>
        <v>352.7</v>
      </c>
    </row>
    <row r="599" spans="1:5" ht="30">
      <c r="A599" s="31" t="s">
        <v>26</v>
      </c>
      <c r="B599" s="8" t="s">
        <v>373</v>
      </c>
      <c r="C599" s="9" t="s">
        <v>381</v>
      </c>
      <c r="D599" s="10">
        <v>200</v>
      </c>
      <c r="E599" s="18">
        <f>358-5.3</f>
        <v>352.7</v>
      </c>
    </row>
    <row r="600" spans="1:5">
      <c r="A600" s="48" t="s">
        <v>382</v>
      </c>
      <c r="B600" s="14" t="s">
        <v>383</v>
      </c>
      <c r="C600" s="14"/>
      <c r="D600" s="53"/>
      <c r="E600" s="26">
        <f>SUM(E601+E605)</f>
        <v>27279.1</v>
      </c>
    </row>
    <row r="601" spans="1:5">
      <c r="A601" s="38" t="s">
        <v>384</v>
      </c>
      <c r="B601" s="14" t="s">
        <v>385</v>
      </c>
      <c r="C601" s="14"/>
      <c r="D601" s="53"/>
      <c r="E601" s="26">
        <f>SUM(E602)</f>
        <v>17639.3</v>
      </c>
    </row>
    <row r="602" spans="1:5" ht="30">
      <c r="A602" s="41" t="s">
        <v>73</v>
      </c>
      <c r="B602" s="12" t="s">
        <v>385</v>
      </c>
      <c r="C602" s="12" t="s">
        <v>74</v>
      </c>
      <c r="D602" s="52"/>
      <c r="E602" s="22">
        <f>SUM(E603)</f>
        <v>17639.3</v>
      </c>
    </row>
    <row r="603" spans="1:5" ht="30">
      <c r="A603" s="36" t="s">
        <v>66</v>
      </c>
      <c r="B603" s="12" t="s">
        <v>385</v>
      </c>
      <c r="C603" s="12" t="s">
        <v>76</v>
      </c>
      <c r="D603" s="52"/>
      <c r="E603" s="22">
        <f>SUM(E604)</f>
        <v>17639.3</v>
      </c>
    </row>
    <row r="604" spans="1:5" ht="30">
      <c r="A604" s="36" t="s">
        <v>77</v>
      </c>
      <c r="B604" s="12" t="s">
        <v>385</v>
      </c>
      <c r="C604" s="12" t="s">
        <v>76</v>
      </c>
      <c r="D604" s="52">
        <v>600</v>
      </c>
      <c r="E604" s="22">
        <f>14101.2+2963.7+529.6+44.8</f>
        <v>17639.3</v>
      </c>
    </row>
    <row r="605" spans="1:5">
      <c r="A605" s="38" t="s">
        <v>386</v>
      </c>
      <c r="B605" s="14" t="s">
        <v>387</v>
      </c>
      <c r="C605" s="14"/>
      <c r="D605" s="53"/>
      <c r="E605" s="26">
        <f>SUM(E606)</f>
        <v>9639.7999999999993</v>
      </c>
    </row>
    <row r="606" spans="1:5" ht="34.5" customHeight="1">
      <c r="A606" s="41" t="s">
        <v>73</v>
      </c>
      <c r="B606" s="12" t="s">
        <v>387</v>
      </c>
      <c r="C606" s="12" t="s">
        <v>74</v>
      </c>
      <c r="D606" s="52"/>
      <c r="E606" s="22">
        <f>SUM(E607)</f>
        <v>9639.7999999999993</v>
      </c>
    </row>
    <row r="607" spans="1:5" ht="60">
      <c r="A607" s="35" t="s">
        <v>388</v>
      </c>
      <c r="B607" s="12" t="s">
        <v>387</v>
      </c>
      <c r="C607" s="12" t="s">
        <v>389</v>
      </c>
      <c r="D607" s="52"/>
      <c r="E607" s="22">
        <f>SUM(E608)</f>
        <v>9639.7999999999993</v>
      </c>
    </row>
    <row r="608" spans="1:5">
      <c r="A608" s="36" t="s">
        <v>27</v>
      </c>
      <c r="B608" s="12" t="s">
        <v>387</v>
      </c>
      <c r="C608" s="12" t="s">
        <v>389</v>
      </c>
      <c r="D608" s="52">
        <v>800</v>
      </c>
      <c r="E608" s="22">
        <f>9141+960.3+819.8+5000-5000-1000+18.7-300</f>
        <v>9639.7999999999993</v>
      </c>
    </row>
    <row r="609" spans="1:5">
      <c r="A609" s="30" t="s">
        <v>390</v>
      </c>
      <c r="B609" s="5" t="s">
        <v>391</v>
      </c>
      <c r="C609" s="6"/>
      <c r="D609" s="7"/>
      <c r="E609" s="25">
        <f>E610</f>
        <v>121886</v>
      </c>
    </row>
    <row r="610" spans="1:5" ht="28.5">
      <c r="A610" s="30" t="s">
        <v>392</v>
      </c>
      <c r="B610" s="5" t="s">
        <v>393</v>
      </c>
      <c r="C610" s="6"/>
      <c r="D610" s="7"/>
      <c r="E610" s="25">
        <f>E611</f>
        <v>121886</v>
      </c>
    </row>
    <row r="611" spans="1:5">
      <c r="A611" s="31" t="s">
        <v>16</v>
      </c>
      <c r="B611" s="8" t="s">
        <v>393</v>
      </c>
      <c r="C611" s="9" t="s">
        <v>17</v>
      </c>
      <c r="D611" s="10"/>
      <c r="E611" s="18">
        <f>E612</f>
        <v>121886</v>
      </c>
    </row>
    <row r="612" spans="1:5">
      <c r="A612" s="31" t="s">
        <v>394</v>
      </c>
      <c r="B612" s="8" t="s">
        <v>393</v>
      </c>
      <c r="C612" s="9" t="s">
        <v>395</v>
      </c>
      <c r="D612" s="10"/>
      <c r="E612" s="18">
        <f>E613</f>
        <v>121886</v>
      </c>
    </row>
    <row r="613" spans="1:5">
      <c r="A613" s="31" t="s">
        <v>396</v>
      </c>
      <c r="B613" s="8" t="s">
        <v>393</v>
      </c>
      <c r="C613" s="9" t="s">
        <v>395</v>
      </c>
      <c r="D613" s="10">
        <v>700</v>
      </c>
      <c r="E613" s="18">
        <f>184096-56210-6000</f>
        <v>121886</v>
      </c>
    </row>
    <row r="614" spans="1:5" ht="28.5" customHeight="1">
      <c r="A614" s="4" t="s">
        <v>398</v>
      </c>
      <c r="B614" s="51"/>
      <c r="C614" s="51"/>
      <c r="D614" s="51"/>
      <c r="E614" s="65">
        <f>+E9+E93+E104+E131+E262+E415+E491+E525+E580+E600+E609+E518</f>
        <v>5568228.0999999996</v>
      </c>
    </row>
  </sheetData>
  <mergeCells count="6">
    <mergeCell ref="A6:E6"/>
    <mergeCell ref="D1:E1"/>
    <mergeCell ref="D2:E2"/>
    <mergeCell ref="D3:E3"/>
    <mergeCell ref="D4:E4"/>
    <mergeCell ref="D5:E5"/>
  </mergeCells>
  <pageMargins left="0.9055118110236221" right="0.19685039370078741" top="0.36" bottom="0.28999999999999998" header="0.31496062992125984" footer="0.19"/>
  <pageSetup paperSize="9" scale="85"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 (2)</vt:lpstr>
      <vt:lpstr>Лист3</vt:lpstr>
      <vt:lpstr>Лист2</vt:lpstr>
      <vt:lpstr>'Лист1 (2)'!Заголовки_для_печати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2015-12-17T06:29:52Z</cp:lastPrinted>
  <dcterms:created xsi:type="dcterms:W3CDTF">2014-10-31T04:25:48Z</dcterms:created>
  <dcterms:modified xsi:type="dcterms:W3CDTF">2015-12-17T06:29:56Z</dcterms:modified>
</cp:coreProperties>
</file>