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695" yWindow="30" windowWidth="12120" windowHeight="12615"/>
  </bookViews>
  <sheets>
    <sheet name="рпр" sheetId="3" r:id="rId1"/>
  </sheets>
  <definedNames>
    <definedName name="_xlnm._FilterDatabase" localSheetId="0" hidden="1">рпр!$C$1:$C$673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E191" i="3" l="1"/>
  <c r="E298" i="3"/>
  <c r="E558" i="3" l="1"/>
  <c r="E231" i="3"/>
  <c r="E137" i="3"/>
  <c r="E77" i="3"/>
  <c r="E568" i="3"/>
  <c r="E73" i="3" l="1"/>
  <c r="E176" i="3"/>
  <c r="E81" i="3"/>
  <c r="E80" i="3"/>
  <c r="E79" i="3"/>
  <c r="E74" i="3"/>
  <c r="F508" i="3" l="1"/>
  <c r="G508" i="3"/>
  <c r="E509" i="3"/>
  <c r="E508" i="3"/>
  <c r="E507" i="3"/>
  <c r="E266" i="3"/>
  <c r="E89" i="3"/>
  <c r="E67" i="3"/>
  <c r="E477" i="3"/>
  <c r="E474" i="3"/>
  <c r="E462" i="3"/>
  <c r="E458" i="3"/>
  <c r="E404" i="3"/>
  <c r="E446" i="3"/>
  <c r="E445" i="3"/>
  <c r="E442" i="3"/>
  <c r="E441" i="3"/>
  <c r="E427" i="3"/>
  <c r="E426" i="3"/>
  <c r="E425" i="3"/>
  <c r="F390" i="3"/>
  <c r="F389" i="3" s="1"/>
  <c r="G390" i="3"/>
  <c r="G389" i="3" s="1"/>
  <c r="E391" i="3"/>
  <c r="E390" i="3" s="1"/>
  <c r="E389" i="3" s="1"/>
  <c r="E388" i="3"/>
  <c r="E369" i="3"/>
  <c r="E367" i="3"/>
  <c r="E356" i="3"/>
  <c r="E338" i="3"/>
  <c r="E136" i="3"/>
  <c r="E135" i="3"/>
  <c r="E124" i="3"/>
  <c r="E119" i="3"/>
  <c r="E117" i="3"/>
  <c r="E324" i="3"/>
  <c r="E313" i="3"/>
  <c r="E306" i="3"/>
  <c r="E302" i="3"/>
  <c r="E281" i="3"/>
  <c r="E144" i="3"/>
  <c r="E53" i="3"/>
  <c r="E548" i="3"/>
  <c r="E546" i="3"/>
  <c r="E545" i="3"/>
  <c r="E542" i="3"/>
  <c r="E537" i="3"/>
  <c r="E415" i="3"/>
  <c r="E411" i="3"/>
  <c r="E409" i="3"/>
  <c r="E371" i="3"/>
  <c r="E330" i="3"/>
  <c r="E329" i="3"/>
  <c r="E317" i="3"/>
  <c r="E296" i="3"/>
  <c r="F276" i="3"/>
  <c r="G276" i="3"/>
  <c r="E276" i="3"/>
  <c r="E226" i="3"/>
  <c r="E228" i="3"/>
  <c r="E233" i="3"/>
  <c r="F180" i="3"/>
  <c r="G180" i="3"/>
  <c r="E180" i="3"/>
  <c r="E177" i="3" l="1"/>
  <c r="E164" i="3"/>
  <c r="F107" i="3"/>
  <c r="G107" i="3"/>
  <c r="E107" i="3"/>
  <c r="E106" i="3"/>
  <c r="E99" i="3"/>
  <c r="E71" i="3"/>
  <c r="E70" i="3"/>
  <c r="E32" i="3"/>
  <c r="E31" i="3"/>
  <c r="E227" i="3"/>
  <c r="E283" i="3"/>
  <c r="F62" i="3"/>
  <c r="F374" i="3"/>
  <c r="G374" i="3"/>
  <c r="E374" i="3"/>
  <c r="F77" i="3"/>
  <c r="F73" i="3" s="1"/>
  <c r="F568" i="3" l="1"/>
  <c r="F287" i="3"/>
  <c r="F187" i="3"/>
  <c r="F185" i="3"/>
  <c r="F177" i="3"/>
  <c r="G99" i="3"/>
  <c r="F99" i="3"/>
  <c r="G77" i="3"/>
  <c r="G73" i="3" s="1"/>
  <c r="E272" i="3"/>
  <c r="E242" i="3" l="1"/>
  <c r="E243" i="3"/>
  <c r="E473" i="3"/>
  <c r="E468" i="3"/>
  <c r="E469" i="3"/>
  <c r="F401" i="3"/>
  <c r="G401" i="3"/>
  <c r="E401" i="3"/>
  <c r="E451" i="3"/>
  <c r="E424" i="3"/>
  <c r="E423" i="3"/>
  <c r="F394" i="3"/>
  <c r="G394" i="3"/>
  <c r="E394" i="3"/>
  <c r="E380" i="3"/>
  <c r="F372" i="3"/>
  <c r="G372" i="3"/>
  <c r="E372" i="3"/>
  <c r="F366" i="3"/>
  <c r="G366" i="3"/>
  <c r="E366" i="3"/>
  <c r="E362" i="3"/>
  <c r="E364" i="3"/>
  <c r="E363" i="3" s="1"/>
  <c r="F363" i="3"/>
  <c r="G363" i="3"/>
  <c r="F343" i="3"/>
  <c r="G343" i="3"/>
  <c r="E343" i="3"/>
  <c r="E308" i="3"/>
  <c r="F297" i="3"/>
  <c r="G297" i="3"/>
  <c r="E297" i="3"/>
  <c r="F242" i="3"/>
  <c r="G242" i="3"/>
  <c r="F225" i="3"/>
  <c r="G225" i="3"/>
  <c r="E225" i="3"/>
  <c r="E224" i="3"/>
  <c r="E185" i="3"/>
  <c r="E193" i="3"/>
  <c r="E192" i="3" s="1"/>
  <c r="F100" i="3"/>
  <c r="G100" i="3"/>
  <c r="E100" i="3"/>
  <c r="E48" i="3"/>
  <c r="E47" i="3"/>
  <c r="G37" i="3"/>
  <c r="G70" i="3"/>
  <c r="G338" i="3"/>
  <c r="F338" i="3"/>
  <c r="G515" i="3"/>
  <c r="F515" i="3"/>
  <c r="E515" i="3"/>
  <c r="E88" i="3"/>
  <c r="G458" i="3"/>
  <c r="F458" i="3"/>
  <c r="G404" i="3"/>
  <c r="F404" i="3"/>
  <c r="E528" i="3"/>
  <c r="G434" i="3"/>
  <c r="G427" i="3"/>
  <c r="G424" i="3" s="1"/>
  <c r="F427" i="3"/>
  <c r="F424" i="3" s="1"/>
  <c r="G388" i="3"/>
  <c r="F388" i="3"/>
  <c r="G360" i="3"/>
  <c r="F360" i="3"/>
  <c r="E360" i="3"/>
  <c r="F361" i="3"/>
  <c r="G361" i="3"/>
  <c r="E361" i="3"/>
  <c r="G356" i="3"/>
  <c r="F356" i="3"/>
  <c r="G340" i="3"/>
  <c r="F340" i="3"/>
  <c r="E340" i="3"/>
  <c r="G119" i="3"/>
  <c r="G62" i="3"/>
  <c r="E62" i="3"/>
  <c r="G537" i="3"/>
  <c r="F537" i="3"/>
  <c r="G415" i="3"/>
  <c r="F415" i="3"/>
  <c r="F370" i="3"/>
  <c r="G370" i="3"/>
  <c r="E370" i="3"/>
  <c r="G329" i="3"/>
  <c r="F329" i="3"/>
  <c r="F202" i="3"/>
  <c r="G202" i="3"/>
  <c r="E202" i="3"/>
  <c r="F192" i="3"/>
  <c r="G192" i="3"/>
  <c r="G164" i="3"/>
  <c r="F164" i="3"/>
  <c r="F98" i="3"/>
  <c r="G98" i="3"/>
  <c r="F70" i="3"/>
  <c r="G46" i="3"/>
  <c r="G45" i="3" s="1"/>
  <c r="G44" i="3" s="1"/>
  <c r="F46" i="3"/>
  <c r="F45" i="3" s="1"/>
  <c r="F44" i="3" s="1"/>
  <c r="G43" i="3"/>
  <c r="G40" i="3"/>
  <c r="F97" i="3" l="1"/>
  <c r="F96" i="3" s="1"/>
  <c r="E467" i="3"/>
  <c r="E46" i="3"/>
  <c r="E45" i="3" s="1"/>
  <c r="E44" i="3" s="1"/>
  <c r="G97" i="3"/>
  <c r="G96" i="3" s="1"/>
  <c r="E24" i="3"/>
  <c r="G53" i="3"/>
  <c r="F53" i="3"/>
  <c r="G447" i="3"/>
  <c r="F447" i="3"/>
  <c r="E447" i="3"/>
  <c r="F450" i="3"/>
  <c r="F449" i="3" s="1"/>
  <c r="G450" i="3"/>
  <c r="G449" i="3" s="1"/>
  <c r="E450" i="3"/>
  <c r="E449" i="3" s="1"/>
  <c r="G436" i="3"/>
  <c r="G435" i="3" s="1"/>
  <c r="F436" i="3"/>
  <c r="F435" i="3" s="1"/>
  <c r="E420" i="3" l="1"/>
  <c r="G83" i="3" l="1"/>
  <c r="F83" i="3"/>
  <c r="E83" i="3"/>
  <c r="E54" i="3" l="1"/>
  <c r="G54" i="3"/>
  <c r="F54" i="3"/>
  <c r="F32" i="3"/>
  <c r="E300" i="3" l="1"/>
  <c r="G175" i="3" l="1"/>
  <c r="E547" i="3"/>
  <c r="F547" i="3"/>
  <c r="G547" i="3"/>
  <c r="E408" i="3"/>
  <c r="F118" i="3" l="1"/>
  <c r="G118" i="3"/>
  <c r="E118" i="3"/>
  <c r="E245" i="3" l="1"/>
  <c r="E241" i="3" s="1"/>
  <c r="F245" i="3"/>
  <c r="F241" i="3" s="1"/>
  <c r="G245" i="3"/>
  <c r="G241" i="3" s="1"/>
  <c r="E188" i="3" l="1"/>
  <c r="F567" i="3" l="1"/>
  <c r="F566" i="3" s="1"/>
  <c r="F565" i="3" s="1"/>
  <c r="F564" i="3" s="1"/>
  <c r="G567" i="3"/>
  <c r="G566" i="3" s="1"/>
  <c r="G565" i="3" s="1"/>
  <c r="G564" i="3" s="1"/>
  <c r="F562" i="3"/>
  <c r="F561" i="3" s="1"/>
  <c r="F560" i="3" s="1"/>
  <c r="F559" i="3" s="1"/>
  <c r="G562" i="3"/>
  <c r="G561" i="3" s="1"/>
  <c r="G560" i="3" s="1"/>
  <c r="G559" i="3" s="1"/>
  <c r="F557" i="3"/>
  <c r="F556" i="3" s="1"/>
  <c r="F555" i="3" s="1"/>
  <c r="F554" i="3" s="1"/>
  <c r="G557" i="3"/>
  <c r="G556" i="3" s="1"/>
  <c r="G555" i="3" s="1"/>
  <c r="G554" i="3" s="1"/>
  <c r="F536" i="3"/>
  <c r="F535" i="3" s="1"/>
  <c r="G536" i="3"/>
  <c r="G535" i="3" s="1"/>
  <c r="G534" i="3" s="1"/>
  <c r="F541" i="3"/>
  <c r="F540" i="3" s="1"/>
  <c r="G541" i="3"/>
  <c r="G540" i="3" s="1"/>
  <c r="F544" i="3"/>
  <c r="G544" i="3"/>
  <c r="F549" i="3"/>
  <c r="G549" i="3"/>
  <c r="F551" i="3"/>
  <c r="G551" i="3"/>
  <c r="E549" i="3"/>
  <c r="F514" i="3"/>
  <c r="F513" i="3" s="1"/>
  <c r="F512" i="3" s="1"/>
  <c r="G514" i="3"/>
  <c r="G513" i="3" s="1"/>
  <c r="G512" i="3" s="1"/>
  <c r="F519" i="3"/>
  <c r="F518" i="3" s="1"/>
  <c r="F517" i="3" s="1"/>
  <c r="G519" i="3"/>
  <c r="G518" i="3" s="1"/>
  <c r="G517" i="3" s="1"/>
  <c r="F523" i="3"/>
  <c r="G523" i="3"/>
  <c r="F526" i="3"/>
  <c r="G526" i="3"/>
  <c r="F529" i="3"/>
  <c r="G529" i="3"/>
  <c r="F457" i="3"/>
  <c r="G457" i="3"/>
  <c r="G456" i="3" s="1"/>
  <c r="F461" i="3"/>
  <c r="F460" i="3" s="1"/>
  <c r="F459" i="3" s="1"/>
  <c r="G461" i="3"/>
  <c r="G460" i="3" s="1"/>
  <c r="G459" i="3" s="1"/>
  <c r="F467" i="3"/>
  <c r="F466" i="3" s="1"/>
  <c r="F465" i="3" s="1"/>
  <c r="G467" i="3"/>
  <c r="G466" i="3" s="1"/>
  <c r="G465" i="3" s="1"/>
  <c r="F472" i="3"/>
  <c r="G472" i="3"/>
  <c r="F476" i="3"/>
  <c r="G476" i="3"/>
  <c r="F479" i="3"/>
  <c r="F478" i="3" s="1"/>
  <c r="G479" i="3"/>
  <c r="G478" i="3" s="1"/>
  <c r="E440" i="3"/>
  <c r="F432" i="3"/>
  <c r="F431" i="3" s="1"/>
  <c r="F430" i="3" s="1"/>
  <c r="G432" i="3"/>
  <c r="G431" i="3" s="1"/>
  <c r="G430" i="3" s="1"/>
  <c r="F440" i="3"/>
  <c r="G440" i="3"/>
  <c r="F444" i="3"/>
  <c r="G444" i="3"/>
  <c r="F410" i="3"/>
  <c r="G410" i="3"/>
  <c r="E410" i="3"/>
  <c r="E407" i="3" s="1"/>
  <c r="G387" i="3"/>
  <c r="G386" i="3" s="1"/>
  <c r="G385" i="3" s="1"/>
  <c r="F387" i="3"/>
  <c r="F386" i="3" s="1"/>
  <c r="F385" i="3" s="1"/>
  <c r="F396" i="3"/>
  <c r="F393" i="3" s="1"/>
  <c r="F392" i="3" s="1"/>
  <c r="G396" i="3"/>
  <c r="G393" i="3" s="1"/>
  <c r="G392" i="3" s="1"/>
  <c r="F403" i="3"/>
  <c r="G403" i="3"/>
  <c r="F414" i="3"/>
  <c r="F413" i="3" s="1"/>
  <c r="G414" i="3"/>
  <c r="G413" i="3" s="1"/>
  <c r="F419" i="3"/>
  <c r="G419" i="3"/>
  <c r="F421" i="3"/>
  <c r="G421" i="3"/>
  <c r="F337" i="3"/>
  <c r="G337" i="3"/>
  <c r="F339" i="3"/>
  <c r="G339" i="3"/>
  <c r="F345" i="3"/>
  <c r="F342" i="3" s="1"/>
  <c r="G345" i="3"/>
  <c r="G342" i="3" s="1"/>
  <c r="F351" i="3"/>
  <c r="G351" i="3"/>
  <c r="F353" i="3"/>
  <c r="G353" i="3"/>
  <c r="F355" i="3"/>
  <c r="G355" i="3"/>
  <c r="F357" i="3"/>
  <c r="G357" i="3"/>
  <c r="F359" i="3"/>
  <c r="G359" i="3"/>
  <c r="F368" i="3"/>
  <c r="F365" i="3" s="1"/>
  <c r="G368" i="3"/>
  <c r="G365" i="3" s="1"/>
  <c r="F378" i="3"/>
  <c r="G378" i="3"/>
  <c r="F381" i="3"/>
  <c r="G381" i="3"/>
  <c r="G439" i="3" l="1"/>
  <c r="G438" i="3" s="1"/>
  <c r="G350" i="3"/>
  <c r="G349" i="3" s="1"/>
  <c r="F400" i="3"/>
  <c r="F399" i="3" s="1"/>
  <c r="F398" i="3" s="1"/>
  <c r="G400" i="3"/>
  <c r="G399" i="3" s="1"/>
  <c r="G398" i="3" s="1"/>
  <c r="F350" i="3"/>
  <c r="F349" i="3" s="1"/>
  <c r="F439" i="3"/>
  <c r="F438" i="3" s="1"/>
  <c r="F429" i="3" s="1"/>
  <c r="F428" i="3" s="1"/>
  <c r="G522" i="3"/>
  <c r="G521" i="3" s="1"/>
  <c r="G516" i="3" s="1"/>
  <c r="F522" i="3"/>
  <c r="F521" i="3" s="1"/>
  <c r="F516" i="3" s="1"/>
  <c r="G553" i="3"/>
  <c r="F553" i="3"/>
  <c r="G471" i="3"/>
  <c r="G470" i="3" s="1"/>
  <c r="G464" i="3" s="1"/>
  <c r="G463" i="3" s="1"/>
  <c r="G543" i="3"/>
  <c r="G539" i="3" s="1"/>
  <c r="G538" i="3" s="1"/>
  <c r="F543" i="3"/>
  <c r="G533" i="3"/>
  <c r="F534" i="3"/>
  <c r="F533" i="3" s="1"/>
  <c r="F471" i="3"/>
  <c r="F470" i="3" s="1"/>
  <c r="F464" i="3" s="1"/>
  <c r="F463" i="3" s="1"/>
  <c r="F456" i="3"/>
  <c r="F455" i="3" s="1"/>
  <c r="F454" i="3" s="1"/>
  <c r="F453" i="3" s="1"/>
  <c r="G455" i="3"/>
  <c r="G454" i="3" s="1"/>
  <c r="G453" i="3" s="1"/>
  <c r="G429" i="3"/>
  <c r="G428" i="3" s="1"/>
  <c r="G407" i="3"/>
  <c r="G406" i="3" s="1"/>
  <c r="F407" i="3"/>
  <c r="F406" i="3" s="1"/>
  <c r="G418" i="3"/>
  <c r="G417" i="3" s="1"/>
  <c r="G384" i="3"/>
  <c r="F418" i="3"/>
  <c r="F417" i="3" s="1"/>
  <c r="G377" i="3"/>
  <c r="G376" i="3" s="1"/>
  <c r="F377" i="3"/>
  <c r="F376" i="3" s="1"/>
  <c r="G341" i="3"/>
  <c r="F341" i="3"/>
  <c r="G336" i="3"/>
  <c r="G335" i="3" s="1"/>
  <c r="F336" i="3"/>
  <c r="F335" i="3" s="1"/>
  <c r="G383" i="3" l="1"/>
  <c r="F416" i="3"/>
  <c r="F405" i="3" s="1"/>
  <c r="G416" i="3"/>
  <c r="G405" i="3" s="1"/>
  <c r="F384" i="3"/>
  <c r="F383" i="3" s="1"/>
  <c r="F539" i="3"/>
  <c r="F538" i="3" s="1"/>
  <c r="F532" i="3" s="1"/>
  <c r="G532" i="3"/>
  <c r="F511" i="3"/>
  <c r="G511" i="3"/>
  <c r="G452" i="3"/>
  <c r="F452" i="3"/>
  <c r="G348" i="3"/>
  <c r="G347" i="3" s="1"/>
  <c r="F348" i="3"/>
  <c r="F347" i="3" s="1"/>
  <c r="F334" i="3"/>
  <c r="G334" i="3"/>
  <c r="G333" i="3" l="1"/>
  <c r="G332" i="3" s="1"/>
  <c r="F333" i="3"/>
  <c r="F332" i="3" s="1"/>
  <c r="E519" i="3" l="1"/>
  <c r="E518" i="3" s="1"/>
  <c r="E517" i="3" s="1"/>
  <c r="E567" i="3"/>
  <c r="E566" i="3" s="1"/>
  <c r="E565" i="3" s="1"/>
  <c r="E564" i="3" s="1"/>
  <c r="E562" i="3"/>
  <c r="E561" i="3" s="1"/>
  <c r="E560" i="3" s="1"/>
  <c r="E559" i="3" s="1"/>
  <c r="E557" i="3" l="1"/>
  <c r="E556" i="3" s="1"/>
  <c r="E555" i="3" l="1"/>
  <c r="E554" i="3" l="1"/>
  <c r="E553" i="3" l="1"/>
  <c r="E551" i="3"/>
  <c r="E544" i="3"/>
  <c r="E543" i="3" l="1"/>
  <c r="E541" i="3"/>
  <c r="E540" i="3" s="1"/>
  <c r="E539" i="3" l="1"/>
  <c r="E538" i="3" s="1"/>
  <c r="E536" i="3" l="1"/>
  <c r="E535" i="3" s="1"/>
  <c r="E534" i="3" s="1"/>
  <c r="E533" i="3" l="1"/>
  <c r="E532" i="3" s="1"/>
  <c r="E529" i="3"/>
  <c r="E526" i="3"/>
  <c r="E523" i="3"/>
  <c r="E514" i="3"/>
  <c r="E513" i="3" s="1"/>
  <c r="E512" i="3" s="1"/>
  <c r="G506" i="3"/>
  <c r="G505" i="3" s="1"/>
  <c r="F506" i="3"/>
  <c r="F505" i="3" s="1"/>
  <c r="E522" i="3" l="1"/>
  <c r="E521" i="3" s="1"/>
  <c r="E516" i="3" s="1"/>
  <c r="E506" i="3"/>
  <c r="E505" i="3" s="1"/>
  <c r="G502" i="3"/>
  <c r="F502" i="3"/>
  <c r="E511" i="3" l="1"/>
  <c r="G504" i="3"/>
  <c r="F504" i="3" s="1"/>
  <c r="E504" i="3"/>
  <c r="E502" i="3"/>
  <c r="G501" i="3" s="1"/>
  <c r="F501" i="3"/>
  <c r="G497" i="3"/>
  <c r="F497" i="3"/>
  <c r="E497" i="3"/>
  <c r="G495" i="3"/>
  <c r="F495" i="3"/>
  <c r="E495" i="3"/>
  <c r="G493" i="3"/>
  <c r="F493" i="3"/>
  <c r="E493" i="3"/>
  <c r="G491" i="3"/>
  <c r="F491" i="3"/>
  <c r="E491" i="3"/>
  <c r="G489" i="3"/>
  <c r="F489" i="3"/>
  <c r="E489" i="3"/>
  <c r="G488" i="3" l="1"/>
  <c r="F488" i="3"/>
  <c r="E501" i="3"/>
  <c r="G500" i="3" s="1"/>
  <c r="G499" i="3" s="1"/>
  <c r="E488" i="3"/>
  <c r="G487" i="3" l="1"/>
  <c r="F500" i="3"/>
  <c r="G485" i="3"/>
  <c r="G484" i="3" s="1"/>
  <c r="F485" i="3"/>
  <c r="E485" i="3"/>
  <c r="E484" i="3" s="1"/>
  <c r="E479" i="3"/>
  <c r="E478" i="3" s="1"/>
  <c r="E476" i="3"/>
  <c r="E472" i="3"/>
  <c r="E466" i="3"/>
  <c r="E465" i="3" s="1"/>
  <c r="E461" i="3"/>
  <c r="E460" i="3" s="1"/>
  <c r="E459" i="3" s="1"/>
  <c r="E457" i="3"/>
  <c r="E456" i="3" s="1"/>
  <c r="F484" i="3" l="1"/>
  <c r="E471" i="3"/>
  <c r="E470" i="3" s="1"/>
  <c r="E464" i="3" s="1"/>
  <c r="E463" i="3" s="1"/>
  <c r="G483" i="3"/>
  <c r="E483" i="3"/>
  <c r="E500" i="3"/>
  <c r="E499" i="3" s="1"/>
  <c r="E487" i="3" s="1"/>
  <c r="F499" i="3"/>
  <c r="F487" i="3" s="1"/>
  <c r="E455" i="3"/>
  <c r="E454" i="3" s="1"/>
  <c r="E453" i="3" s="1"/>
  <c r="E432" i="3"/>
  <c r="E431" i="3" s="1"/>
  <c r="E430" i="3" s="1"/>
  <c r="E419" i="3"/>
  <c r="F483" i="3" l="1"/>
  <c r="G482" i="3"/>
  <c r="E452" i="3"/>
  <c r="E444" i="3"/>
  <c r="E439" i="3" s="1"/>
  <c r="E438" i="3" s="1"/>
  <c r="E421" i="3"/>
  <c r="E418" i="3" s="1"/>
  <c r="E417" i="3" s="1"/>
  <c r="E482" i="3"/>
  <c r="F482" i="3"/>
  <c r="E414" i="3"/>
  <c r="E413" i="3" s="1"/>
  <c r="E403" i="3"/>
  <c r="E396" i="3"/>
  <c r="E393" i="3" s="1"/>
  <c r="E387" i="3"/>
  <c r="E381" i="3"/>
  <c r="E378" i="3"/>
  <c r="E368" i="3"/>
  <c r="E365" i="3" s="1"/>
  <c r="E359" i="3"/>
  <c r="E357" i="3"/>
  <c r="E355" i="3"/>
  <c r="E353" i="3"/>
  <c r="E351" i="3"/>
  <c r="E345" i="3"/>
  <c r="E342" i="3" s="1"/>
  <c r="E339" i="3"/>
  <c r="E337" i="3"/>
  <c r="E386" i="3" l="1"/>
  <c r="E385" i="3" s="1"/>
  <c r="E400" i="3"/>
  <c r="E399" i="3" s="1"/>
  <c r="E398" i="3" s="1"/>
  <c r="E350" i="3"/>
  <c r="E416" i="3"/>
  <c r="E429" i="3"/>
  <c r="E428" i="3" s="1"/>
  <c r="E336" i="3"/>
  <c r="E335" i="3" s="1"/>
  <c r="E406" i="3"/>
  <c r="E392" i="3"/>
  <c r="E377" i="3"/>
  <c r="E376" i="3" s="1"/>
  <c r="E341" i="3"/>
  <c r="E349" i="3"/>
  <c r="G328" i="3"/>
  <c r="F328" i="3"/>
  <c r="E328" i="3"/>
  <c r="E327" i="3" s="1"/>
  <c r="G322" i="3"/>
  <c r="F322" i="3"/>
  <c r="E322" i="3"/>
  <c r="E321" i="3" s="1"/>
  <c r="E320" i="3" s="1"/>
  <c r="G316" i="3"/>
  <c r="F316" i="3"/>
  <c r="E316" i="3"/>
  <c r="G312" i="3"/>
  <c r="G311" i="3" s="1"/>
  <c r="F312" i="3"/>
  <c r="F311" i="3" s="1"/>
  <c r="E312" i="3"/>
  <c r="E311" i="3" s="1"/>
  <c r="G307" i="3"/>
  <c r="F307" i="3"/>
  <c r="E307" i="3"/>
  <c r="G305" i="3"/>
  <c r="F305" i="3"/>
  <c r="E305" i="3"/>
  <c r="G303" i="3"/>
  <c r="F303" i="3"/>
  <c r="E303" i="3"/>
  <c r="G301" i="3"/>
  <c r="F301" i="3"/>
  <c r="E301" i="3"/>
  <c r="G299" i="3"/>
  <c r="F299" i="3"/>
  <c r="E299" i="3"/>
  <c r="G295" i="3"/>
  <c r="F295" i="3"/>
  <c r="E295" i="3"/>
  <c r="G289" i="3"/>
  <c r="F289" i="3"/>
  <c r="E289" i="3"/>
  <c r="G286" i="3"/>
  <c r="F286" i="3"/>
  <c r="E286" i="3"/>
  <c r="G284" i="3"/>
  <c r="F284" i="3"/>
  <c r="E284" i="3"/>
  <c r="G282" i="3"/>
  <c r="F282" i="3"/>
  <c r="E282" i="3"/>
  <c r="G280" i="3"/>
  <c r="F280" i="3"/>
  <c r="E294" i="3" l="1"/>
  <c r="E293" i="3" s="1"/>
  <c r="E405" i="3"/>
  <c r="E334" i="3"/>
  <c r="E333" i="3" s="1"/>
  <c r="G315" i="3"/>
  <c r="F315" i="3" s="1"/>
  <c r="E384" i="3"/>
  <c r="E383" i="3" s="1"/>
  <c r="E348" i="3"/>
  <c r="E347" i="3" s="1"/>
  <c r="F294" i="3"/>
  <c r="G294" i="3"/>
  <c r="G293" i="3" s="1"/>
  <c r="E315" i="3"/>
  <c r="E314" i="3" s="1"/>
  <c r="E326" i="3"/>
  <c r="G288" i="3"/>
  <c r="F288" i="3" s="1"/>
  <c r="E310" i="3"/>
  <c r="E288" i="3"/>
  <c r="G321" i="3"/>
  <c r="F321" i="3" s="1"/>
  <c r="E319" i="3"/>
  <c r="G327" i="3"/>
  <c r="F327" i="3" s="1"/>
  <c r="E280" i="3"/>
  <c r="G279" i="3"/>
  <c r="F279" i="3"/>
  <c r="E278" i="3"/>
  <c r="G270" i="3"/>
  <c r="F270" i="3"/>
  <c r="E270" i="3"/>
  <c r="G265" i="3"/>
  <c r="F265" i="3"/>
  <c r="E265" i="3"/>
  <c r="G263" i="3"/>
  <c r="F263" i="3"/>
  <c r="E263" i="3"/>
  <c r="G259" i="3"/>
  <c r="F259" i="3"/>
  <c r="E259" i="3"/>
  <c r="G257" i="3"/>
  <c r="F257" i="3"/>
  <c r="E257" i="3"/>
  <c r="G254" i="3"/>
  <c r="G253" i="3" s="1"/>
  <c r="F254" i="3"/>
  <c r="F253" i="3" s="1"/>
  <c r="E254" i="3"/>
  <c r="E253" i="3" s="1"/>
  <c r="G249" i="3"/>
  <c r="G248" i="3" s="1"/>
  <c r="F249" i="3"/>
  <c r="E249" i="3"/>
  <c r="E248" i="3" s="1"/>
  <c r="G237" i="3"/>
  <c r="F237" i="3"/>
  <c r="E237" i="3"/>
  <c r="E236" i="3" s="1"/>
  <c r="E275" i="3" l="1"/>
  <c r="E274" i="3" s="1"/>
  <c r="G314" i="3"/>
  <c r="F314" i="3" s="1"/>
  <c r="E332" i="3"/>
  <c r="E262" i="3"/>
  <c r="E261" i="3" s="1"/>
  <c r="E256" i="3"/>
  <c r="E252" i="3" s="1"/>
  <c r="F256" i="3"/>
  <c r="F262" i="3"/>
  <c r="G262" i="3"/>
  <c r="G261" i="3" s="1"/>
  <c r="G256" i="3"/>
  <c r="F293" i="3"/>
  <c r="G310" i="3"/>
  <c r="F310" i="3" s="1"/>
  <c r="G269" i="3"/>
  <c r="G247" i="3"/>
  <c r="E247" i="3"/>
  <c r="E239" i="3" s="1"/>
  <c r="G292" i="3"/>
  <c r="E292" i="3"/>
  <c r="E309" i="3"/>
  <c r="F269" i="3"/>
  <c r="F248" i="3"/>
  <c r="E269" i="3"/>
  <c r="G278" i="3"/>
  <c r="G275" i="3" s="1"/>
  <c r="E318" i="3"/>
  <c r="G236" i="3"/>
  <c r="F278" i="3"/>
  <c r="F275" i="3" s="1"/>
  <c r="G320" i="3"/>
  <c r="G326" i="3"/>
  <c r="F326" i="3" s="1"/>
  <c r="G232" i="3"/>
  <c r="F232" i="3"/>
  <c r="E232" i="3"/>
  <c r="G230" i="3"/>
  <c r="F230" i="3"/>
  <c r="E230" i="3"/>
  <c r="G223" i="3"/>
  <c r="G222" i="3" s="1"/>
  <c r="F223" i="3"/>
  <c r="F222" i="3" s="1"/>
  <c r="E223" i="3"/>
  <c r="E222" i="3" s="1"/>
  <c r="G219" i="3"/>
  <c r="F219" i="3"/>
  <c r="E219" i="3"/>
  <c r="G216" i="3"/>
  <c r="F216" i="3"/>
  <c r="E216" i="3"/>
  <c r="G214" i="3"/>
  <c r="F214" i="3"/>
  <c r="E214" i="3"/>
  <c r="G212" i="3"/>
  <c r="F212" i="3"/>
  <c r="E212" i="3"/>
  <c r="G210" i="3"/>
  <c r="F210" i="3"/>
  <c r="E210" i="3"/>
  <c r="G208" i="3"/>
  <c r="F208" i="3"/>
  <c r="E208" i="3"/>
  <c r="G204" i="3"/>
  <c r="G201" i="3" s="1"/>
  <c r="F204" i="3"/>
  <c r="F201" i="3" s="1"/>
  <c r="E204" i="3"/>
  <c r="E201" i="3" s="1"/>
  <c r="G196" i="3"/>
  <c r="F196" i="3"/>
  <c r="E196" i="3"/>
  <c r="G194" i="3"/>
  <c r="F194" i="3"/>
  <c r="E194" i="3"/>
  <c r="G190" i="3"/>
  <c r="F190" i="3"/>
  <c r="E190" i="3"/>
  <c r="G186" i="3"/>
  <c r="F186" i="3"/>
  <c r="E186" i="3"/>
  <c r="G184" i="3"/>
  <c r="F184" i="3"/>
  <c r="E184" i="3"/>
  <c r="G182" i="3"/>
  <c r="F182" i="3"/>
  <c r="E182" i="3"/>
  <c r="E179" i="3"/>
  <c r="E178" i="3" s="1"/>
  <c r="G178" i="3"/>
  <c r="F178" i="3"/>
  <c r="F175" i="3"/>
  <c r="F174" i="3" s="1"/>
  <c r="E175" i="3"/>
  <c r="G174" i="3" l="1"/>
  <c r="E174" i="3"/>
  <c r="G274" i="3"/>
  <c r="G273" i="3" s="1"/>
  <c r="F274" i="3"/>
  <c r="F273" i="3" s="1"/>
  <c r="F229" i="3"/>
  <c r="G218" i="3"/>
  <c r="F218" i="3" s="1"/>
  <c r="G309" i="3"/>
  <c r="F309" i="3" s="1"/>
  <c r="G207" i="3"/>
  <c r="F292" i="3"/>
  <c r="F261" i="3"/>
  <c r="E218" i="3"/>
  <c r="E207" i="3"/>
  <c r="E273" i="3"/>
  <c r="F207" i="3"/>
  <c r="G229" i="3"/>
  <c r="G239" i="3"/>
  <c r="F320" i="3"/>
  <c r="G319" i="3"/>
  <c r="F252" i="3"/>
  <c r="G252" i="3"/>
  <c r="G251" i="3" s="1"/>
  <c r="F247" i="3"/>
  <c r="E251" i="3"/>
  <c r="E235" i="3" s="1"/>
  <c r="F236" i="3"/>
  <c r="G268" i="3"/>
  <c r="F268" i="3" s="1"/>
  <c r="E268" i="3"/>
  <c r="G200" i="3"/>
  <c r="E200" i="3"/>
  <c r="E229" i="3"/>
  <c r="F221" i="3" l="1"/>
  <c r="F200" i="3"/>
  <c r="F267" i="3"/>
  <c r="G291" i="3"/>
  <c r="G206" i="3"/>
  <c r="G199" i="3" s="1"/>
  <c r="F206" i="3"/>
  <c r="G221" i="3"/>
  <c r="F291" i="3"/>
  <c r="E291" i="3" s="1"/>
  <c r="E206" i="3"/>
  <c r="E199" i="3" s="1"/>
  <c r="E267" i="3"/>
  <c r="G173" i="3"/>
  <c r="F173" i="3" s="1"/>
  <c r="F251" i="3"/>
  <c r="G235" i="3"/>
  <c r="F319" i="3"/>
  <c r="F318" i="3" s="1"/>
  <c r="G318" i="3"/>
  <c r="F239" i="3"/>
  <c r="G267" i="3"/>
  <c r="E173" i="3"/>
  <c r="E221" i="3"/>
  <c r="G169" i="3"/>
  <c r="F169" i="3"/>
  <c r="E169" i="3"/>
  <c r="G167" i="3"/>
  <c r="F167" i="3"/>
  <c r="E167" i="3"/>
  <c r="G165" i="3"/>
  <c r="F165" i="3"/>
  <c r="E165" i="3"/>
  <c r="G163" i="3"/>
  <c r="F163" i="3"/>
  <c r="E163" i="3"/>
  <c r="G159" i="3"/>
  <c r="F159" i="3"/>
  <c r="F158" i="3" s="1"/>
  <c r="E159" i="3"/>
  <c r="G153" i="3"/>
  <c r="F153" i="3"/>
  <c r="E153" i="3"/>
  <c r="G151" i="3"/>
  <c r="F151" i="3"/>
  <c r="E151" i="3"/>
  <c r="G145" i="3"/>
  <c r="F145" i="3"/>
  <c r="E145" i="3"/>
  <c r="G143" i="3"/>
  <c r="F143" i="3"/>
  <c r="E143" i="3"/>
  <c r="G134" i="3"/>
  <c r="F134" i="3"/>
  <c r="E134" i="3"/>
  <c r="G129" i="3"/>
  <c r="F129" i="3"/>
  <c r="E129" i="3"/>
  <c r="G124" i="3"/>
  <c r="F124" i="3"/>
  <c r="G122" i="3"/>
  <c r="F122" i="3"/>
  <c r="E122" i="3"/>
  <c r="G116" i="3"/>
  <c r="G115" i="3" s="1"/>
  <c r="F116" i="3"/>
  <c r="F115" i="3" s="1"/>
  <c r="E116" i="3"/>
  <c r="E115" i="3" s="1"/>
  <c r="G105" i="3"/>
  <c r="F105" i="3"/>
  <c r="E105" i="3"/>
  <c r="E104" i="3" s="1"/>
  <c r="F121" i="3" l="1"/>
  <c r="G121" i="3"/>
  <c r="G120" i="3" s="1"/>
  <c r="E121" i="3"/>
  <c r="E120" i="3" s="1"/>
  <c r="G162" i="3"/>
  <c r="E162" i="3"/>
  <c r="F162" i="3"/>
  <c r="E114" i="3"/>
  <c r="F235" i="3"/>
  <c r="F234" i="3" s="1"/>
  <c r="F199" i="3"/>
  <c r="F198" i="3" s="1"/>
  <c r="E142" i="3"/>
  <c r="F142" i="3"/>
  <c r="F150" i="3"/>
  <c r="E158" i="3"/>
  <c r="G142" i="3"/>
  <c r="G141" i="3" s="1"/>
  <c r="G133" i="3"/>
  <c r="F133" i="3" s="1"/>
  <c r="E150" i="3"/>
  <c r="E149" i="3" s="1"/>
  <c r="G234" i="3"/>
  <c r="G158" i="3"/>
  <c r="G157" i="3" s="1"/>
  <c r="G128" i="3"/>
  <c r="F157" i="3"/>
  <c r="G172" i="3"/>
  <c r="E172" i="3"/>
  <c r="E171" i="3" s="1"/>
  <c r="G198" i="3"/>
  <c r="E198" i="3"/>
  <c r="G240" i="3"/>
  <c r="F240" i="3" s="1"/>
  <c r="E240" i="3"/>
  <c r="E234" i="3"/>
  <c r="F128" i="3"/>
  <c r="E133" i="3"/>
  <c r="E128" i="3"/>
  <c r="G150" i="3"/>
  <c r="G149" i="3" s="1"/>
  <c r="G114" i="3"/>
  <c r="G104" i="3"/>
  <c r="F104" i="3"/>
  <c r="E103" i="3"/>
  <c r="E98" i="3"/>
  <c r="E97" i="3" s="1"/>
  <c r="E96" i="3" s="1"/>
  <c r="G94" i="3"/>
  <c r="F94" i="3"/>
  <c r="E94" i="3"/>
  <c r="G87" i="3"/>
  <c r="G86" i="3" s="1"/>
  <c r="F87" i="3"/>
  <c r="E87" i="3"/>
  <c r="E86" i="3" s="1"/>
  <c r="E82" i="3"/>
  <c r="G78" i="3"/>
  <c r="F78" i="3"/>
  <c r="E78" i="3"/>
  <c r="G69" i="3"/>
  <c r="F69" i="3"/>
  <c r="E69" i="3"/>
  <c r="G65" i="3"/>
  <c r="F65" i="3"/>
  <c r="E65" i="3"/>
  <c r="E64" i="3" l="1"/>
  <c r="F172" i="3"/>
  <c r="F171" i="3" s="1"/>
  <c r="G171" i="3"/>
  <c r="F141" i="3"/>
  <c r="E141" i="3" s="1"/>
  <c r="E140" i="3" s="1"/>
  <c r="F149" i="3"/>
  <c r="F120" i="3"/>
  <c r="G161" i="3"/>
  <c r="F161" i="3" s="1"/>
  <c r="E161" i="3" s="1"/>
  <c r="F86" i="3"/>
  <c r="G85" i="3"/>
  <c r="E85" i="3"/>
  <c r="F114" i="3"/>
  <c r="G127" i="3"/>
  <c r="F127" i="3" s="1"/>
  <c r="E127" i="3"/>
  <c r="E157" i="3"/>
  <c r="G93" i="3"/>
  <c r="F93" i="3" s="1"/>
  <c r="G103" i="3"/>
  <c r="F103" i="3" s="1"/>
  <c r="G82" i="3"/>
  <c r="F82" i="3" s="1"/>
  <c r="F64" i="3" s="1"/>
  <c r="E93" i="3"/>
  <c r="G132" i="3"/>
  <c r="F132" i="3" s="1"/>
  <c r="E132" i="3"/>
  <c r="G140" i="3"/>
  <c r="G148" i="3"/>
  <c r="E148" i="3"/>
  <c r="G61" i="3"/>
  <c r="F61" i="3"/>
  <c r="E61" i="3"/>
  <c r="E57" i="3"/>
  <c r="E56" i="3" s="1"/>
  <c r="E55" i="3" s="1"/>
  <c r="G52" i="3"/>
  <c r="F52" i="3"/>
  <c r="E52" i="3"/>
  <c r="G41" i="3"/>
  <c r="F41" i="3"/>
  <c r="E41" i="3"/>
  <c r="G38" i="3"/>
  <c r="F38" i="3"/>
  <c r="E38" i="3"/>
  <c r="G35" i="3"/>
  <c r="G64" i="3" l="1"/>
  <c r="E113" i="3"/>
  <c r="G156" i="3"/>
  <c r="G155" i="3" s="1"/>
  <c r="F140" i="3"/>
  <c r="F156" i="3"/>
  <c r="F155" i="3" s="1"/>
  <c r="E156" i="3"/>
  <c r="F148" i="3"/>
  <c r="E51" i="3"/>
  <c r="E50" i="3" s="1"/>
  <c r="F85" i="3"/>
  <c r="F51" i="3"/>
  <c r="G51" i="3"/>
  <c r="G50" i="3" s="1"/>
  <c r="G92" i="3"/>
  <c r="F92" i="3" s="1"/>
  <c r="E92" i="3"/>
  <c r="G147" i="3"/>
  <c r="E147" i="3"/>
  <c r="G102" i="3"/>
  <c r="F102" i="3" s="1"/>
  <c r="E102" i="3"/>
  <c r="G60" i="3"/>
  <c r="F60" i="3" s="1"/>
  <c r="E60" i="3" s="1"/>
  <c r="G113" i="3"/>
  <c r="F113" i="3" s="1"/>
  <c r="G84" i="3"/>
  <c r="E84" i="3"/>
  <c r="G139" i="3"/>
  <c r="E139" i="3"/>
  <c r="F35" i="3"/>
  <c r="E35" i="3"/>
  <c r="G34" i="3" s="1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F139" i="3" l="1"/>
  <c r="F147" i="3"/>
  <c r="E155" i="3"/>
  <c r="E138" i="3" s="1"/>
  <c r="F84" i="3"/>
  <c r="F50" i="3"/>
  <c r="G15" i="3"/>
  <c r="G29" i="3"/>
  <c r="G112" i="3"/>
  <c r="F112" i="3" s="1"/>
  <c r="E112" i="3"/>
  <c r="G49" i="3"/>
  <c r="E49" i="3"/>
  <c r="G138" i="3"/>
  <c r="F34" i="3"/>
  <c r="E34" i="3" s="1"/>
  <c r="E29" i="3" s="1"/>
  <c r="G91" i="3"/>
  <c r="F91" i="3" s="1"/>
  <c r="E91" i="3"/>
  <c r="G59" i="3"/>
  <c r="F59" i="3" s="1"/>
  <c r="E59" i="3"/>
  <c r="F15" i="3"/>
  <c r="E15" i="3"/>
  <c r="G12" i="3"/>
  <c r="F12" i="3"/>
  <c r="E12" i="3"/>
  <c r="E63" i="3" l="1"/>
  <c r="F63" i="3"/>
  <c r="G63" i="3"/>
  <c r="F138" i="3"/>
  <c r="F49" i="3"/>
  <c r="G14" i="3"/>
  <c r="F14" i="3"/>
  <c r="G11" i="3"/>
  <c r="F11" i="3" s="1"/>
  <c r="G28" i="3"/>
  <c r="E28" i="3"/>
  <c r="G111" i="3"/>
  <c r="F111" i="3" s="1"/>
  <c r="E111" i="3"/>
  <c r="E11" i="3"/>
  <c r="E14" i="3"/>
  <c r="F29" i="3"/>
  <c r="F28" i="3" s="1"/>
  <c r="G10" i="3" l="1"/>
  <c r="G9" i="3" s="1"/>
  <c r="E10" i="3"/>
  <c r="E9" i="3" s="1"/>
  <c r="E571" i="3" s="1"/>
  <c r="F10" i="3" l="1"/>
  <c r="G571" i="3"/>
  <c r="F9" i="3" l="1"/>
  <c r="F571" i="3" s="1"/>
</calcChain>
</file>

<file path=xl/sharedStrings.xml><?xml version="1.0" encoding="utf-8"?>
<sst xmlns="http://schemas.openxmlformats.org/spreadsheetml/2006/main" count="1658" uniqueCount="567">
  <si>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</si>
  <si>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</si>
  <si>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</si>
  <si>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</si>
  <si>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</si>
  <si>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</si>
  <si>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</si>
  <si>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</si>
  <si>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</si>
  <si>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</si>
  <si>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</si>
  <si>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</si>
  <si>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</si>
  <si>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</si>
  <si>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</si>
  <si>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</si>
  <si>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</si>
  <si>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</si>
  <si>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</si>
  <si>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</si>
  <si>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</si>
  <si>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</si>
  <si>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</si>
  <si>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</si>
  <si>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</si>
  <si>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</si>
  <si>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</si>
  <si>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</si>
  <si>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</si>
  <si>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</si>
  <si>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</si>
  <si>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</si>
  <si>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</si>
  <si>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</si>
  <si>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</si>
  <si>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</si>
  <si>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</si>
  <si>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</si>
  <si>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</si>
  <si>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</si>
  <si>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</si>
  <si>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</si>
  <si>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</si>
  <si>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</si>
  <si>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</si>
  <si>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</si>
  <si>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</t>
  </si>
  <si>
    <t>00 1 00 87360</t>
  </si>
  <si>
    <t>100</t>
  </si>
  <si>
    <t>200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</si>
  <si>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</si>
  <si>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>00 1 00 88430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</si>
  <si>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</si>
  <si>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</si>
  <si>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</si>
  <si>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</si>
  <si>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</si>
  <si>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</si>
  <si>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</si>
  <si>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</si>
  <si>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Муниципальная программа "Развитие информационного общества города Благовещенска на 2015-2020 годы"</t>
  </si>
  <si>
    <t>10 0 00 00000</t>
  </si>
  <si>
    <t>Основное мероприятие "Организация предоставления государственных и муниципальных услуг"</t>
  </si>
  <si>
    <t>10 0 01 00000</t>
  </si>
  <si>
    <t>Расходы на обеспечение деятельности (оказание услуг, выполнение работ) муниципальных организаций (учреждений)</t>
  </si>
  <si>
    <t>10 0 01 10590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</si>
  <si>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</si>
  <si>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</si>
  <si>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</si>
  <si>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</si>
  <si>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</si>
  <si>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</si>
  <si>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</si>
  <si>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</si>
  <si>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</si>
  <si>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</si>
  <si>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</si>
  <si>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</si>
  <si>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</si>
  <si>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2015-2020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</si>
  <si>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</si>
  <si>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</si>
  <si>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</si>
  <si>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</si>
  <si>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</si>
  <si>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</si>
  <si>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</si>
  <si>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</si>
  <si>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</si>
  <si>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</si>
  <si>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Муниципальная программа "Развитие транспортной системы города Благовещенска на 2015-2020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</si>
  <si>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</si>
  <si>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</si>
  <si>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</si>
  <si>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</si>
  <si>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</si>
  <si>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</si>
  <si>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</si>
  <si>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</si>
  <si>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</si>
  <si>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</si>
  <si>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</si>
  <si>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</si>
  <si>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</si>
  <si>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</si>
  <si>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</si>
  <si>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</si>
  <si>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</si>
  <si>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</si>
  <si>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</si>
  <si>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</si>
  <si>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</si>
  <si>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</si>
  <si>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</si>
  <si>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</si>
  <si>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</si>
  <si>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</si>
  <si>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</si>
  <si>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</si>
  <si>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</si>
  <si>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</si>
  <si>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</si>
  <si>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</si>
  <si>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</si>
  <si>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</si>
  <si>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</si>
  <si>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</si>
  <si>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Муниципальная программа "Экономическое развитие города Благовещенска на 2015-2020 годы"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</si>
  <si>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</si>
  <si>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</si>
  <si>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</si>
  <si>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</si>
  <si>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</si>
  <si>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</si>
  <si>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</si>
  <si>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</si>
  <si>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</si>
  <si>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</si>
  <si>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</si>
  <si>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</si>
  <si>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</si>
  <si>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</si>
  <si>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</si>
  <si>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</si>
  <si>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</si>
  <si>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</si>
  <si>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</si>
  <si>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</si>
  <si>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</si>
  <si>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</si>
  <si>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</si>
  <si>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</si>
  <si>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</si>
  <si>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</si>
  <si>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</si>
  <si>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</si>
  <si>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</si>
  <si>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</si>
  <si>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</si>
  <si>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</si>
  <si>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</si>
  <si>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</si>
  <si>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</si>
  <si>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</si>
  <si>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</si>
  <si>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</si>
  <si>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</si>
  <si>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</si>
  <si>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</si>
  <si>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</si>
  <si>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</si>
  <si>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</si>
  <si>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03 1 01 40110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</si>
  <si>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</si>
  <si>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</si>
  <si>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</si>
  <si>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</si>
  <si>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</si>
  <si>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</si>
  <si>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</si>
  <si>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</si>
  <si>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</si>
  <si>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Муниципальная программа "Развитие потенциала молодежи города Благовещенска на 2015-2020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</si>
  <si>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</si>
  <si>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</si>
  <si>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</si>
  <si>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</si>
  <si>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</si>
  <si>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</si>
  <si>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</si>
  <si>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</si>
  <si>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</si>
  <si>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</si>
  <si>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</si>
  <si>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</si>
  <si>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</si>
  <si>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</si>
  <si>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</si>
  <si>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</si>
  <si>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</si>
  <si>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</si>
  <si>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</si>
  <si>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</si>
  <si>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</si>
  <si>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</si>
  <si>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</si>
  <si>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</si>
  <si>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</si>
  <si>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 на 2015-2020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</si>
  <si>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</si>
  <si>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</si>
  <si>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</si>
  <si>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</si>
  <si>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</si>
  <si>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</si>
  <si>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</si>
  <si>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</si>
  <si>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</si>
  <si>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</si>
  <si>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</si>
  <si>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</si>
  <si>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</si>
  <si>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</si>
  <si>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</si>
  <si>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</si>
  <si>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</si>
  <si>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</si>
  <si>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</si>
  <si>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</si>
  <si>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</si>
  <si>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</si>
  <si>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</si>
  <si>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</si>
  <si>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Основное мероприятие "Развитие муниципальных средств массовой информации"</t>
  </si>
  <si>
    <t>10 0 02 00000</t>
  </si>
  <si>
    <t>10 0 02 10590</t>
  </si>
  <si>
    <t>Периодическая печать и издательства</t>
  </si>
  <si>
    <t>1202</t>
  </si>
  <si>
    <t>Субсидии юридическим лицам, осуществляющим производство и выпуск средств массовой информации в официальном печатном издании в части расходов на опубликование муниципальных правовых актов и иной официальной информации</t>
  </si>
  <si>
    <t>10 0 02 60220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</si>
  <si>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</si>
  <si>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</si>
  <si>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</si>
  <si>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</si>
  <si>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</si>
  <si>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</si>
  <si>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</si>
  <si>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</si>
  <si>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</si>
  <si>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</si>
  <si>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</si>
  <si>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</si>
  <si>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</si>
  <si>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</si>
  <si>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</si>
  <si>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</si>
  <si>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</si>
  <si>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</si>
  <si>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Осуществление государственных  полномочий по организации проведения мероприятий по регулированию численности безнадзорных животных по мероприятиям подпрограммы «Обеспечение эпизоотического и ветеринарно-санитарного благополучия на территории области» государственной программы «Развитие сельского хозяйства и регулирование рынков сельскохозяйственной продукции, сырья и продовольствия Амурской области на 2014-2020 годы» в рамках подпрограммы "Охрана окружающей среды и обеспечение экологической безопасности населения города Благовещенска" муниципальной программы "Обеспечение безопасности жизнедеятельности населения и территории города Благовещенска на 2015-2020 годы"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</si>
  <si>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</si>
  <si>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</si>
  <si>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</si>
  <si>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</si>
  <si>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</si>
  <si>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</si>
  <si>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</si>
  <si>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Муниципальная программа "Обеспечение доступным и комфортным жильем населения города Благовещенска на 2015-2020 годы"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</si>
  <si>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</si>
  <si>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</si>
  <si>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</si>
  <si>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</si>
  <si>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</si>
  <si>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</si>
  <si>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</si>
  <si>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</si>
  <si>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</si>
  <si>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</si>
  <si>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</si>
  <si>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</si>
  <si>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00 1 00 87120</t>
  </si>
  <si>
    <t>Субсидии юридическим лицам, предоставляющим населению услуги в отделениях бань</t>
  </si>
  <si>
    <t>03 1 02 60150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</si>
  <si>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</si>
  <si>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</si>
  <si>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</si>
  <si>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</si>
  <si>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</si>
  <si>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</si>
  <si>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</si>
  <si>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</si>
  <si>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</si>
  <si>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</si>
  <si>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</si>
  <si>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</si>
  <si>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08 4 01 60260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</si>
  <si>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</si>
  <si>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</si>
  <si>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</si>
  <si>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</si>
  <si>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</si>
  <si>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</si>
  <si>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</si>
  <si>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</si>
  <si>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</si>
  <si>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</si>
  <si>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</si>
  <si>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</si>
  <si>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</si>
  <si>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</si>
  <si>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08 1  01 10340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</si>
  <si>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</si>
  <si>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</si>
  <si>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</si>
  <si>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</si>
  <si>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</si>
  <si>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</si>
  <si>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</si>
  <si>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</si>
  <si>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</si>
  <si>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</si>
  <si>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</si>
  <si>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</si>
  <si>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</si>
  <si>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</si>
  <si>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2020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</si>
  <si>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</si>
  <si>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</si>
  <si>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</si>
  <si>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</si>
  <si>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</si>
  <si>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Дошкольное  образование</t>
  </si>
  <si>
    <t>0701</t>
  </si>
  <si>
    <t>Муниципальная программа "Развитие образования города Благовещенска на 2015-2020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</si>
  <si>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</si>
  <si>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</si>
  <si>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</si>
  <si>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</si>
  <si>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</si>
  <si>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</si>
  <si>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</si>
  <si>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Подпрограмма  "Обеспечение реализации муниципальной программы "Развитие образования города Благовещенска на 2015 -2020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</si>
  <si>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</si>
  <si>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</si>
  <si>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</si>
  <si>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</si>
  <si>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</si>
  <si>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</si>
  <si>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</si>
  <si>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</si>
  <si>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</si>
  <si>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</si>
  <si>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</si>
  <si>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</si>
  <si>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</si>
  <si>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04  1 02 00000</t>
  </si>
  <si>
    <t xml:space="preserve">Капитальные вложения в объекты муниципальной собственности  </t>
  </si>
  <si>
    <t>04 1 02 40010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</si>
  <si>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</si>
  <si>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</si>
  <si>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</si>
  <si>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</si>
  <si>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</si>
  <si>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</si>
  <si>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</si>
  <si>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</si>
  <si>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</si>
  <si>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</si>
  <si>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</si>
  <si>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</si>
  <si>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</si>
  <si>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</si>
  <si>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</si>
  <si>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</si>
  <si>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 на 2014 – 2020 гг."</t>
  </si>
  <si>
    <t>04 2 01 87300</t>
  </si>
  <si>
    <t>Подпрограмма "Обеспечение реализации муниципальной программы "Развитие образования города Благовещенска на 2015-2020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</si>
  <si>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</si>
  <si>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</si>
  <si>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</si>
  <si>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</si>
  <si>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</si>
  <si>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</si>
  <si>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</si>
  <si>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04 1 01 87250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</si>
  <si>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</si>
  <si>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</si>
  <si>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</si>
  <si>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04 2  01 87700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</si>
  <si>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</si>
  <si>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04 2 01 11020</t>
  </si>
  <si>
    <t>Муниципальная программа "Развитие и сохранение культуры в городе  Благовещенске на 2015-2020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</si>
  <si>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</si>
  <si>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</si>
  <si>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</si>
  <si>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</si>
  <si>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</si>
  <si>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</si>
  <si>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</si>
  <si>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</si>
  <si>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</si>
  <si>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</si>
  <si>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</si>
  <si>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</si>
  <si>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</si>
  <si>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</si>
  <si>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</si>
  <si>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</si>
  <si>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</si>
  <si>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</si>
  <si>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</si>
  <si>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</si>
  <si>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</si>
  <si>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</si>
  <si>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</si>
  <si>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</si>
  <si>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</si>
  <si>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</si>
  <si>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</si>
  <si>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</si>
  <si>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 на 2015-2020 годы"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</si>
  <si>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</si>
  <si>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</si>
  <si>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</si>
  <si>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</si>
  <si>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</si>
  <si>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</si>
  <si>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</si>
  <si>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</si>
  <si>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</si>
  <si>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</si>
  <si>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</si>
  <si>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</si>
  <si>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</si>
  <si>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</si>
  <si>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</si>
  <si>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</si>
  <si>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</si>
  <si>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</si>
  <si>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</si>
  <si>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</si>
  <si>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2015-2020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</si>
  <si>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</si>
  <si>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</si>
  <si>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</si>
  <si>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</si>
  <si>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</si>
  <si>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</si>
  <si>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</si>
  <si>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</si>
  <si>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</si>
  <si>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</si>
  <si>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</si>
  <si>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</si>
  <si>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</si>
  <si>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</si>
  <si>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</si>
  <si>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</si>
  <si>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"Реализация мероприятий по улучшению жилищных условий молодых семей"</t>
  </si>
  <si>
    <t>01 3 01 00000</t>
  </si>
  <si>
    <t>00 1 00 R0820</t>
  </si>
  <si>
    <t>400</t>
  </si>
  <si>
    <t>тыс.руб.</t>
  </si>
  <si>
    <t>Итого расходов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</si>
  <si>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</si>
  <si>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</si>
  <si>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</si>
  <si>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04 1  01 88500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</si>
  <si>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</si>
  <si>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</si>
  <si>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</si>
  <si>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</si>
  <si>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 xml:space="preserve">Строительство мусороперерабатывающего комплекса "БлагЭко" в г.Благовещенске. (II очередь), Амурская область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</si>
  <si>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</si>
  <si>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</si>
  <si>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</si>
  <si>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03 1 01 10650</t>
  </si>
  <si>
    <t>Выполнение работ по разработке схемы водоснабжения и водоотведения города Благовещенска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</si>
  <si>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</si>
  <si>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</si>
  <si>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</si>
  <si>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</si>
  <si>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</si>
  <si>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Основное мероприятие "Реализация мероприятий в рамках приоритетного проекта "Формирование комфортной городской среды"</t>
  </si>
  <si>
    <t>Формирование современной городской среды (благоустройство дворовых и общественных территорий)</t>
  </si>
  <si>
    <t>13 0 00 00000</t>
  </si>
  <si>
    <t>13 0 01 00000</t>
  </si>
  <si>
    <t>13 0 01 L5550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</si>
  <si>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 на 2014 – 2020 годы"</t>
  </si>
  <si>
    <t>04 2 02 S7500</t>
  </si>
  <si>
    <t>01 3 01 L0200</t>
  </si>
  <si>
    <t>Предоставление молодым семьям социальных выплат на приобретение (строительство) жилья в рамках подпрограммы "Обеспечение жильём молодых семей" федеральной целевой программы "Жилище" на 2015-2020 годы</t>
  </si>
  <si>
    <t>Выполнение работ по актуализации схемы теплоснабжения города Благовещенска</t>
  </si>
  <si>
    <t>03 1 01 10651</t>
  </si>
  <si>
    <t>Мероприятия государственной программы Амурской области "Развитие транспортной системы Амурской области на 2014-2020 годы", направленные на строительство и ремонт улично-дорожной сети города Благовещенска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</si>
  <si>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 на 2014–2020 годы»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</si>
  <si>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государственной программы Амурской области "Обеспечение доступным и качественным жильем населения Амурской области на 2014-2020 годы"</t>
  </si>
  <si>
    <t>Мероприятия государственной программы Российской Федерации "Доступная среда" на 2011-2020 годы, направленные на адаптацию с учетом нужд инвалидов и других маломобильных групп населения транспортной инфраструктурой</t>
  </si>
  <si>
    <t>02 1 01 L0270</t>
  </si>
  <si>
    <t>Общественный туалет в г.Благовещенске (в т.ч. проектные работы)</t>
  </si>
  <si>
    <t>03 4 01 40640</t>
  </si>
  <si>
    <t>Расходы по охране объектов незавершенного строительства и объектов в период передачи в муниципальную собственность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</si>
  <si>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</si>
  <si>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02 1 01 40040</t>
  </si>
  <si>
    <t>02 1 01 40610</t>
  </si>
  <si>
    <t>02 1 01 40630</t>
  </si>
  <si>
    <t>02 1 01 40650</t>
  </si>
  <si>
    <t>Очистные сооружения ливневой канализации центрально-исторического планировочного района г.Благовещенска  (в т.ч. проектные работы)</t>
  </si>
  <si>
    <t>09 1 01 40140</t>
  </si>
  <si>
    <t>Строительство электрических сетей в районе «5-я стройка»</t>
  </si>
  <si>
    <t>03 1 01 40390</t>
  </si>
  <si>
    <t>03 1 01 40660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</si>
  <si>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2018 год и плановый период 2019 и 2020 годов</t>
  </si>
  <si>
    <t>Муниципальная программа "Формирование современной городской среды на территории города Благовещенска на 2018-2022 годы"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</si>
  <si>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</si>
  <si>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02 1 01 40060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</si>
  <si>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 на 2014-2020 годы"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</si>
  <si>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</si>
  <si>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</si>
  <si>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</si>
  <si>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</si>
  <si>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</si>
  <si>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</si>
  <si>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(проектные работы)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</si>
  <si>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</si>
  <si>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</si>
  <si>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</si>
  <si>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 на 2014-2020 годы"</t>
  </si>
  <si>
    <t>Предоставление субсидий бюджетным, автономным
учреждениям и иным некоммерческим организациям</t>
  </si>
  <si>
    <t>0105</t>
  </si>
  <si>
    <t>00 1 00  51200</t>
  </si>
  <si>
    <t>02 1 01 60090</t>
  </si>
  <si>
    <t>Ремонт улично-дорожной сети города Благовещенска</t>
  </si>
  <si>
    <t>Реконструкция канализационного коллектора от Северного жилого района до очистных сооружений канализации, г.Благовещенск, Амурская область 4-я очередь</t>
  </si>
  <si>
    <t>09 1 01 40100</t>
  </si>
  <si>
    <t>Сливная станция в квартале 258 г.Благовещенска (в том числе проектные работы)</t>
  </si>
  <si>
    <t>04 1 02 40670</t>
  </si>
  <si>
    <t>04 1 01 87620</t>
  </si>
  <si>
    <t>Предоставление муниципальных услуг по принципу "одного окна" подпрограммы "Развитие информационного общества и формирование электронного правительства в Амурской области" государственной программы Амурской области "Повышение эффективности деятельности органов государственной власти и управления Амурской области на 2014-2020 годы" в рамках муниципальной программы "Развитие информационного общества города Благовещенска на 2015-2020 годы"</t>
  </si>
  <si>
    <t>10 0 01 88150</t>
  </si>
  <si>
    <t>11 0 01 L5110</t>
  </si>
  <si>
    <t>01 1 01 09502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</si>
  <si>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в рамках  подпрограммы 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 государственной программы Амурской области  "Обеспечение доступным и качественным жильём населения Амурской области на 2014-2020 годы"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</si>
  <si>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детских и спортивных площадок на дворовых территориях многоквартирных домов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</si>
  <si>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</si>
  <si>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</si>
  <si>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</si>
  <si>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</si>
  <si>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</si>
  <si>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</si>
  <si>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02 L0270</t>
  </si>
  <si>
    <t>Участие одаренных детей в конкурсах, фестивалях, выставках различных уровней</t>
  </si>
  <si>
    <t>05 2 01 10090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</si>
  <si>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(проектные работы)</t>
  </si>
  <si>
    <t>04 1 02 L5200</t>
  </si>
  <si>
    <t>Создание новых мест в общеобразовательных организациях</t>
  </si>
  <si>
    <t>Школа на 1500 мест в квартале 406 г.Благовещенск, Амурская область (проектные работы)</t>
  </si>
  <si>
    <t>11 0 01 R5110</t>
  </si>
  <si>
    <t xml:space="preserve">Строительство дорог в районе "5-й стройки" для обеспечения транспортной инфраструктурой земельных участков, предоставленных многодетным семьям </t>
  </si>
  <si>
    <t>02 1 01 40050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</si>
  <si>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 на 2014-2020 годы",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</si>
  <si>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</si>
  <si>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01 3 01 L4970</t>
  </si>
  <si>
    <t>Капитальный ремонт путепровода через ул.Загородная-ул.Северная (в т.ч.проектные работы)</t>
  </si>
  <si>
    <t>Проведение комплексных кадастровых работ по мероприятиям федеральной целевой программы "Развитие единой государственной системы регистрации прав и кадастрового учета недвижимости (2014-2020 года)" в рамках муниципальной программы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</si>
  <si>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системы защиты прав детей" государственной программы "Развитие образования Амурской области на 201-2020 годы"</t>
  </si>
  <si>
    <t>Приложение № 1</t>
  </si>
  <si>
    <t xml:space="preserve">               от 26.04.2018 № 44/32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</si>
</sst>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1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1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wrapText="1"/>
    </xf>
    <xf numFmtId="49" fontId="8" fillId="0" borderId="0" xfId="1" applyNumberFormat="1" applyFont="1" applyFill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164" fontId="8" fillId="0" borderId="0" xfId="2" applyNumberFormat="1" applyFont="1" applyFill="1"/>
    <xf numFmtId="0" fontId="9" fillId="0" borderId="0" xfId="2" applyFont="1" applyFill="1"/>
    <xf numFmtId="49" fontId="8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2" applyNumberFormat="1" applyFont="1" applyFill="1"/>
    <xf numFmtId="0" fontId="10" fillId="0" borderId="0" xfId="2" applyFont="1" applyFill="1"/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49" fontId="5" fillId="0" borderId="0" xfId="2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left" wrapText="1"/>
    </xf>
    <xf numFmtId="0" fontId="5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1" applyFont="1" applyFill="1" applyBorder="1" applyAlignment="1">
      <alignment wrapText="1"/>
    </xf>
    <xf numFmtId="164" fontId="5" fillId="0" borderId="0" xfId="0" applyNumberFormat="1" applyFont="1" applyFill="1"/>
    <xf numFmtId="0" fontId="5" fillId="0" borderId="0" xfId="5" applyFont="1" applyFill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1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wrapText="1"/>
    </xf>
    <xf numFmtId="0" fontId="5" fillId="0" borderId="0" xfId="2" applyFont="1" applyFill="1" applyBorder="1" applyAlignment="1">
      <alignment wrapText="1"/>
    </xf>
    <xf numFmtId="164" fontId="8" fillId="0" borderId="0" xfId="2" applyNumberFormat="1" applyFont="1" applyFill="1" applyAlignment="1"/>
    <xf numFmtId="164" fontId="5" fillId="0" borderId="0" xfId="2" applyNumberFormat="1" applyFont="1" applyFill="1" applyAlignment="1"/>
    <xf numFmtId="4" fontId="5" fillId="0" borderId="0" xfId="4" applyNumberFormat="1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/>
    <xf numFmtId="0" fontId="5" fillId="0" borderId="0" xfId="4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wrapText="1"/>
    </xf>
    <xf numFmtId="164" fontId="5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8" fillId="0" borderId="0" xfId="2" applyFont="1" applyFill="1" applyBorder="1" applyAlignment="1">
      <alignment wrapText="1"/>
    </xf>
    <xf numFmtId="164" fontId="5" fillId="0" borderId="0" xfId="2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1" fontId="5" fillId="0" borderId="0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164" fontId="8" fillId="0" borderId="0" xfId="2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left" wrapText="1"/>
    </xf>
    <xf numFmtId="0" fontId="12" fillId="0" borderId="0" xfId="1" applyFont="1" applyFill="1" applyAlignment="1">
      <alignment horizontal="left" wrapText="1"/>
    </xf>
    <xf numFmtId="1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top" wrapText="1"/>
    </xf>
    <xf numFmtId="1" fontId="5" fillId="0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wrapText="1"/>
    </xf>
    <xf numFmtId="164" fontId="13" fillId="0" borderId="0" xfId="2" applyNumberFormat="1" applyFont="1" applyFill="1" applyAlignment="1">
      <alignment horizontal="right"/>
    </xf>
    <xf numFmtId="165" fontId="14" fillId="0" borderId="0" xfId="2" applyNumberFormat="1" applyFont="1" applyFill="1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>
      <alignment horizontal="right"/>
    </xf>
    <xf numFmtId="0" fontId="5" fillId="0" borderId="0" xfId="5" applyFont="1" applyFill="1" applyBorder="1" applyAlignment="1">
      <alignment horizontal="left"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wrapText="1"/>
    </xf>
    <xf numFmtId="1" fontId="5" fillId="0" borderId="0" xfId="1" applyNumberFormat="1" applyFont="1" applyFill="1" applyBorder="1" applyAlignment="1">
      <alignment wrapText="1"/>
    </xf>
    <xf numFmtId="1" fontId="5" fillId="0" borderId="0" xfId="5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wrapText="1"/>
    </xf>
    <xf numFmtId="3" fontId="15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2" applyNumberFormat="1" applyFont="1" applyFill="1" applyBorder="1" applyAlignment="1"/>
    <xf numFmtId="164" fontId="8" fillId="0" borderId="0" xfId="0" applyNumberFormat="1" applyFont="1" applyFill="1"/>
    <xf numFmtId="0" fontId="5" fillId="0" borderId="0" xfId="2" applyFont="1" applyFill="1" applyBorder="1" applyAlignment="1">
      <alignment horizontal="left" wrapText="1"/>
    </xf>
    <xf numFmtId="49" fontId="1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/>
    <xf numFmtId="164" fontId="9" fillId="0" borderId="0" xfId="2" applyNumberFormat="1" applyFont="1" applyFill="1"/>
    <xf numFmtId="0" fontId="5" fillId="0" borderId="0" xfId="5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" fontId="8" fillId="0" borderId="0" xfId="7" applyNumberFormat="1" applyFont="1" applyFill="1" applyBorder="1" applyAlignment="1">
      <alignment horizontal="left" wrapText="1"/>
    </xf>
    <xf numFmtId="49" fontId="8" fillId="0" borderId="0" xfId="7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0" xfId="7" applyFont="1" applyFill="1" applyBorder="1" applyAlignment="1">
      <alignment horizontal="left" wrapText="1"/>
    </xf>
    <xf numFmtId="49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left" wrapText="1"/>
    </xf>
    <xf numFmtId="0" fontId="5" fillId="0" borderId="0" xfId="2" applyFont="1" applyFill="1" applyBorder="1"/>
    <xf numFmtId="0" fontId="5" fillId="0" borderId="0" xfId="2" applyNumberFormat="1" applyFont="1" applyFill="1" applyAlignment="1">
      <alignment wrapText="1"/>
    </xf>
    <xf numFmtId="0" fontId="5" fillId="0" borderId="0" xfId="0" applyFont="1" applyFill="1" applyAlignment="1">
      <alignment horizontal="justify" vertical="top" wrapText="1"/>
    </xf>
    <xf numFmtId="165" fontId="16" fillId="0" borderId="0" xfId="0" applyNumberFormat="1" applyFont="1" applyFill="1"/>
    <xf numFmtId="0" fontId="5" fillId="0" borderId="0" xfId="5" applyNumberFormat="1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165" fontId="10" fillId="0" borderId="0" xfId="2" applyNumberFormat="1" applyFont="1" applyFill="1"/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right"/>
    </xf>
  </cellXfs>
  <cellStyles count="8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3"/>
  <sheetViews>
    <sheetView tabSelected="1" topLeftCell="A540" workbookViewId="0">
      <selection activeCell="E297" sqref="E297:E298"/>
    </sheetView>
  </sheetViews>
  <sheetFormatPr defaultColWidth="9.140625" defaultRowHeight="15" x14ac:dyDescent="0.25"/>
  <cols>
    <col min="1" max="1" width="65.85546875" style="97" customWidth="1"/>
    <col min="2" max="2" width="8" style="21" customWidth="1"/>
    <col min="3" max="3" width="14.7109375" style="98" customWidth="1"/>
    <col min="4" max="4" width="6.140625" style="99" customWidth="1"/>
    <col min="5" max="7" width="11.85546875" style="21" customWidth="1"/>
    <col min="8" max="16384" width="9.140625" style="21"/>
  </cols>
  <sheetData>
    <row r="1" spans="1:7" s="5" customFormat="1" ht="12.75" x14ac:dyDescent="0.2">
      <c r="A1" s="3"/>
      <c r="B1" s="4"/>
      <c r="C1" s="133" t="s">
        <v>565</v>
      </c>
      <c r="D1" s="133"/>
      <c r="E1" s="133"/>
      <c r="F1" s="133"/>
      <c r="G1" s="133"/>
    </row>
    <row r="2" spans="1:7" s="5" customFormat="1" ht="12.75" x14ac:dyDescent="0.2">
      <c r="A2" s="3"/>
      <c r="B2" s="4"/>
      <c r="C2" s="133" t="s">
        <v>0</v>
      </c>
      <c r="D2" s="133"/>
      <c r="E2" s="133"/>
      <c r="F2" s="133"/>
      <c r="G2" s="133"/>
    </row>
    <row r="3" spans="1:7" s="5" customFormat="1" ht="12.75" x14ac:dyDescent="0.2">
      <c r="A3" s="3"/>
      <c r="B3" s="4"/>
      <c r="C3" s="133" t="s">
        <v>1</v>
      </c>
      <c r="D3" s="133"/>
      <c r="E3" s="133"/>
      <c r="F3" s="133"/>
      <c r="G3" s="133"/>
    </row>
    <row r="4" spans="1:7" s="5" customFormat="1" ht="12.75" x14ac:dyDescent="0.2">
      <c r="A4" s="3"/>
      <c r="B4" s="4"/>
      <c r="C4" s="133"/>
      <c r="D4" s="133"/>
      <c r="E4" s="133"/>
      <c r="F4" s="134" t="s">
        <v>566</v>
      </c>
      <c r="G4" s="134"/>
    </row>
    <row r="5" spans="1:7" s="5" customFormat="1" ht="12.75" x14ac:dyDescent="0.2">
      <c r="A5" s="3"/>
      <c r="B5" s="4"/>
      <c r="C5" s="132"/>
      <c r="D5" s="132"/>
      <c r="E5" s="132"/>
    </row>
    <row r="6" spans="1:7" s="5" customFormat="1" ht="50.25" customHeight="1" x14ac:dyDescent="0.2">
      <c r="A6" s="131" t="s">
        <v>511</v>
      </c>
      <c r="B6" s="131"/>
      <c r="C6" s="131"/>
      <c r="D6" s="131"/>
      <c r="E6" s="131"/>
      <c r="F6" s="131"/>
      <c r="G6" s="131"/>
    </row>
    <row r="7" spans="1:7" s="5" customFormat="1" ht="12.75" x14ac:dyDescent="0.2">
      <c r="A7" s="3"/>
      <c r="B7" s="4"/>
      <c r="G7" s="106" t="s">
        <v>461</v>
      </c>
    </row>
    <row r="8" spans="1:7" s="5" customFormat="1" x14ac:dyDescent="0.2">
      <c r="A8" s="6" t="s">
        <v>2</v>
      </c>
      <c r="B8" s="7" t="s">
        <v>3</v>
      </c>
      <c r="C8" s="7" t="s">
        <v>4</v>
      </c>
      <c r="D8" s="8" t="s">
        <v>5</v>
      </c>
      <c r="E8" s="9">
        <v>2018</v>
      </c>
      <c r="F8" s="9">
        <v>2019</v>
      </c>
      <c r="G8" s="9">
        <v>2020</v>
      </c>
    </row>
    <row r="9" spans="1:7" s="15" customFormat="1" x14ac:dyDescent="0.25">
      <c r="A9" s="10" t="s">
        <v>6</v>
      </c>
      <c r="B9" s="11" t="s">
        <v>7</v>
      </c>
      <c r="C9" s="12"/>
      <c r="D9" s="13"/>
      <c r="E9" s="14">
        <f>E10+E14+E28+E49+E59+E63+E55+E44</f>
        <v>625155.09999999986</v>
      </c>
      <c r="F9" s="14">
        <f t="shared" ref="F9:G9" si="0">F10+F14+F28+F49+F59+F63+F55+F44</f>
        <v>494802.1</v>
      </c>
      <c r="G9" s="14">
        <f t="shared" si="0"/>
        <v>584710.1</v>
      </c>
    </row>
    <row r="10" spans="1:7" s="15" customFormat="1" ht="29.25" x14ac:dyDescent="0.25">
      <c r="A10" s="10" t="s">
        <v>36</v>
      </c>
      <c r="B10" s="11" t="s">
        <v>37</v>
      </c>
      <c r="C10" s="16"/>
      <c r="D10" s="13"/>
      <c r="E10" s="14">
        <f>E11</f>
        <v>2203.5</v>
      </c>
      <c r="F10" s="14">
        <f t="shared" ref="F10:G12" si="1">F11</f>
        <v>2225.5</v>
      </c>
      <c r="G10" s="14">
        <f t="shared" si="1"/>
        <v>2291.6</v>
      </c>
    </row>
    <row r="11" spans="1:7" x14ac:dyDescent="0.25">
      <c r="A11" s="1" t="s">
        <v>10</v>
      </c>
      <c r="B11" s="17" t="s">
        <v>37</v>
      </c>
      <c r="C11" s="18" t="s">
        <v>11</v>
      </c>
      <c r="D11" s="19"/>
      <c r="E11" s="20">
        <f>E12</f>
        <v>2203.5</v>
      </c>
      <c r="F11" s="20">
        <f t="shared" si="1"/>
        <v>2225.5</v>
      </c>
      <c r="G11" s="20">
        <f t="shared" si="1"/>
        <v>2291.6</v>
      </c>
    </row>
    <row r="12" spans="1:7" x14ac:dyDescent="0.25">
      <c r="A12" s="1" t="s">
        <v>38</v>
      </c>
      <c r="B12" s="17" t="s">
        <v>37</v>
      </c>
      <c r="C12" s="18" t="s">
        <v>39</v>
      </c>
      <c r="D12" s="19"/>
      <c r="E12" s="20">
        <f>E13</f>
        <v>2203.5</v>
      </c>
      <c r="F12" s="20">
        <f t="shared" si="1"/>
        <v>2225.5</v>
      </c>
      <c r="G12" s="20">
        <f t="shared" si="1"/>
        <v>2291.6</v>
      </c>
    </row>
    <row r="13" spans="1:7" ht="60" x14ac:dyDescent="0.25">
      <c r="A13" s="1" t="s">
        <v>14</v>
      </c>
      <c r="B13" s="17" t="s">
        <v>37</v>
      </c>
      <c r="C13" s="18" t="s">
        <v>39</v>
      </c>
      <c r="D13" s="19">
        <v>100</v>
      </c>
      <c r="E13" s="31">
        <v>2203.5</v>
      </c>
      <c r="F13" s="31">
        <v>2225.5</v>
      </c>
      <c r="G13" s="31">
        <v>2291.6</v>
      </c>
    </row>
    <row r="14" spans="1:7" s="15" customFormat="1" ht="43.5" x14ac:dyDescent="0.25">
      <c r="A14" s="10" t="s">
        <v>8</v>
      </c>
      <c r="B14" s="11" t="s">
        <v>9</v>
      </c>
      <c r="C14" s="13"/>
      <c r="D14" s="14"/>
      <c r="E14" s="14">
        <f>E15</f>
        <v>31466.3</v>
      </c>
      <c r="F14" s="14">
        <f>F15</f>
        <v>32026.799999999999</v>
      </c>
      <c r="G14" s="14">
        <f>G15</f>
        <v>32494.7</v>
      </c>
    </row>
    <row r="15" spans="1:7" s="15" customFormat="1" x14ac:dyDescent="0.25">
      <c r="A15" s="1" t="s">
        <v>10</v>
      </c>
      <c r="B15" s="17" t="s">
        <v>9</v>
      </c>
      <c r="C15" s="18" t="s">
        <v>11</v>
      </c>
      <c r="D15" s="19"/>
      <c r="E15" s="20">
        <f>SUM(E16++E18+E20+E22+++E26)</f>
        <v>31466.3</v>
      </c>
      <c r="F15" s="20">
        <f>SUM(F16++F18+F20+F22+++F26)</f>
        <v>32026.799999999999</v>
      </c>
      <c r="G15" s="20">
        <f>SUM(G16++G18+G20+G22+++G26)</f>
        <v>32494.7</v>
      </c>
    </row>
    <row r="16" spans="1:7" s="15" customFormat="1" ht="30" x14ac:dyDescent="0.25">
      <c r="A16" s="1" t="s">
        <v>12</v>
      </c>
      <c r="B16" s="17" t="s">
        <v>9</v>
      </c>
      <c r="C16" s="18" t="s">
        <v>13</v>
      </c>
      <c r="D16" s="19"/>
      <c r="E16" s="20">
        <f>E17</f>
        <v>2171.1</v>
      </c>
      <c r="F16" s="20">
        <f>F17</f>
        <v>2192.8000000000002</v>
      </c>
      <c r="G16" s="20">
        <f>G17</f>
        <v>2258</v>
      </c>
    </row>
    <row r="17" spans="1:7" s="15" customFormat="1" ht="60" x14ac:dyDescent="0.25">
      <c r="A17" s="1" t="s">
        <v>14</v>
      </c>
      <c r="B17" s="17" t="s">
        <v>9</v>
      </c>
      <c r="C17" s="18" t="s">
        <v>13</v>
      </c>
      <c r="D17" s="19">
        <v>100</v>
      </c>
      <c r="E17" s="31">
        <v>2171.1</v>
      </c>
      <c r="F17" s="31">
        <v>2192.8000000000002</v>
      </c>
      <c r="G17" s="31">
        <v>2258</v>
      </c>
    </row>
    <row r="18" spans="1:7" s="15" customFormat="1" ht="30" x14ac:dyDescent="0.25">
      <c r="A18" s="1" t="s">
        <v>15</v>
      </c>
      <c r="B18" s="17" t="s">
        <v>9</v>
      </c>
      <c r="C18" s="18" t="s">
        <v>16</v>
      </c>
      <c r="D18" s="19"/>
      <c r="E18" s="20">
        <f>E19</f>
        <v>1987.8</v>
      </c>
      <c r="F18" s="20">
        <f>F19</f>
        <v>2007.7</v>
      </c>
      <c r="G18" s="20">
        <f>G19</f>
        <v>2067.3000000000002</v>
      </c>
    </row>
    <row r="19" spans="1:7" s="15" customFormat="1" ht="60" x14ac:dyDescent="0.25">
      <c r="A19" s="1" t="s">
        <v>14</v>
      </c>
      <c r="B19" s="17" t="s">
        <v>9</v>
      </c>
      <c r="C19" s="18" t="s">
        <v>16</v>
      </c>
      <c r="D19" s="19">
        <v>100</v>
      </c>
      <c r="E19" s="31">
        <v>1987.8</v>
      </c>
      <c r="F19" s="31">
        <v>2007.7</v>
      </c>
      <c r="G19" s="31">
        <v>2067.3000000000002</v>
      </c>
    </row>
    <row r="20" spans="1:7" s="15" customFormat="1" x14ac:dyDescent="0.25">
      <c r="A20" s="1" t="s">
        <v>17</v>
      </c>
      <c r="B20" s="17" t="s">
        <v>9</v>
      </c>
      <c r="C20" s="18" t="s">
        <v>18</v>
      </c>
      <c r="D20" s="19"/>
      <c r="E20" s="20">
        <f>E21</f>
        <v>1848.1</v>
      </c>
      <c r="F20" s="20">
        <f>F21</f>
        <v>1866.6</v>
      </c>
      <c r="G20" s="20">
        <f>G21</f>
        <v>1922</v>
      </c>
    </row>
    <row r="21" spans="1:7" s="15" customFormat="1" ht="60" x14ac:dyDescent="0.25">
      <c r="A21" s="1" t="s">
        <v>14</v>
      </c>
      <c r="B21" s="17" t="s">
        <v>9</v>
      </c>
      <c r="C21" s="18" t="s">
        <v>18</v>
      </c>
      <c r="D21" s="19">
        <v>100</v>
      </c>
      <c r="E21" s="31">
        <v>1848.1</v>
      </c>
      <c r="F21" s="31">
        <v>1866.6</v>
      </c>
      <c r="G21" s="31">
        <v>1922</v>
      </c>
    </row>
    <row r="22" spans="1:7" s="15" customFormat="1" x14ac:dyDescent="0.25">
      <c r="A22" s="22" t="s">
        <v>19</v>
      </c>
      <c r="B22" s="17" t="s">
        <v>9</v>
      </c>
      <c r="C22" s="18" t="s">
        <v>20</v>
      </c>
      <c r="D22" s="19"/>
      <c r="E22" s="20">
        <f>SUM(E23:E25)</f>
        <v>14960</v>
      </c>
      <c r="F22" s="20">
        <f>SUM(F23:F25)</f>
        <v>15460.4</v>
      </c>
      <c r="G22" s="20">
        <f>SUM(G23:G25)</f>
        <v>15748.1</v>
      </c>
    </row>
    <row r="23" spans="1:7" s="15" customFormat="1" ht="60" x14ac:dyDescent="0.25">
      <c r="A23" s="1" t="s">
        <v>14</v>
      </c>
      <c r="B23" s="17" t="s">
        <v>9</v>
      </c>
      <c r="C23" s="18" t="s">
        <v>20</v>
      </c>
      <c r="D23" s="19">
        <v>100</v>
      </c>
      <c r="E23" s="31">
        <v>12678</v>
      </c>
      <c r="F23" s="31">
        <v>12803.8</v>
      </c>
      <c r="G23" s="31">
        <v>13181.5</v>
      </c>
    </row>
    <row r="24" spans="1:7" s="15" customFormat="1" ht="30" x14ac:dyDescent="0.25">
      <c r="A24" s="1" t="s">
        <v>21</v>
      </c>
      <c r="B24" s="17" t="s">
        <v>9</v>
      </c>
      <c r="C24" s="18" t="s">
        <v>20</v>
      </c>
      <c r="D24" s="19">
        <v>200</v>
      </c>
      <c r="E24" s="31">
        <f>2652.6-374.6</f>
        <v>2278</v>
      </c>
      <c r="F24" s="31">
        <v>2652.6</v>
      </c>
      <c r="G24" s="31">
        <v>2562.6</v>
      </c>
    </row>
    <row r="25" spans="1:7" s="15" customFormat="1" x14ac:dyDescent="0.25">
      <c r="A25" s="22" t="s">
        <v>22</v>
      </c>
      <c r="B25" s="17" t="s">
        <v>9</v>
      </c>
      <c r="C25" s="18" t="s">
        <v>20</v>
      </c>
      <c r="D25" s="19">
        <v>800</v>
      </c>
      <c r="E25" s="31">
        <v>4</v>
      </c>
      <c r="F25" s="31">
        <v>4</v>
      </c>
      <c r="G25" s="31">
        <v>4</v>
      </c>
    </row>
    <row r="26" spans="1:7" s="15" customFormat="1" x14ac:dyDescent="0.25">
      <c r="A26" s="1" t="s">
        <v>23</v>
      </c>
      <c r="B26" s="17" t="s">
        <v>9</v>
      </c>
      <c r="C26" s="18" t="s">
        <v>24</v>
      </c>
      <c r="D26" s="19"/>
      <c r="E26" s="20">
        <f>E27</f>
        <v>10499.3</v>
      </c>
      <c r="F26" s="20">
        <f>F27</f>
        <v>10499.3</v>
      </c>
      <c r="G26" s="20">
        <f>G27</f>
        <v>10499.3</v>
      </c>
    </row>
    <row r="27" spans="1:7" ht="60" x14ac:dyDescent="0.25">
      <c r="A27" s="1" t="s">
        <v>14</v>
      </c>
      <c r="B27" s="17" t="s">
        <v>9</v>
      </c>
      <c r="C27" s="18" t="s">
        <v>24</v>
      </c>
      <c r="D27" s="19">
        <v>100</v>
      </c>
      <c r="E27" s="31">
        <v>10499.3</v>
      </c>
      <c r="F27" s="31">
        <v>10499.3</v>
      </c>
      <c r="G27" s="31">
        <v>10499.3</v>
      </c>
    </row>
    <row r="28" spans="1:7" s="15" customFormat="1" ht="43.5" x14ac:dyDescent="0.25">
      <c r="A28" s="10" t="s">
        <v>40</v>
      </c>
      <c r="B28" s="11" t="s">
        <v>41</v>
      </c>
      <c r="C28" s="16"/>
      <c r="D28" s="13"/>
      <c r="E28" s="14">
        <f>E29</f>
        <v>177591.9</v>
      </c>
      <c r="F28" s="14">
        <f>F29</f>
        <v>184929.7</v>
      </c>
      <c r="G28" s="14">
        <f>G29</f>
        <v>189613.49999999997</v>
      </c>
    </row>
    <row r="29" spans="1:7" x14ac:dyDescent="0.25">
      <c r="A29" s="1" t="s">
        <v>10</v>
      </c>
      <c r="B29" s="17" t="s">
        <v>41</v>
      </c>
      <c r="C29" s="18" t="s">
        <v>11</v>
      </c>
      <c r="D29" s="19"/>
      <c r="E29" s="20">
        <f>E30+E34</f>
        <v>177591.9</v>
      </c>
      <c r="F29" s="20">
        <f>F30+F34</f>
        <v>184929.7</v>
      </c>
      <c r="G29" s="20">
        <f>G30+G34</f>
        <v>189613.49999999997</v>
      </c>
    </row>
    <row r="30" spans="1:7" ht="30" x14ac:dyDescent="0.25">
      <c r="A30" s="23" t="s">
        <v>42</v>
      </c>
      <c r="B30" s="17" t="s">
        <v>41</v>
      </c>
      <c r="C30" s="18" t="s">
        <v>43</v>
      </c>
      <c r="D30" s="19"/>
      <c r="E30" s="20">
        <f>SUM(E31:E33)</f>
        <v>172791.3</v>
      </c>
      <c r="F30" s="20">
        <f>SUM(F31:F33)</f>
        <v>180129.1</v>
      </c>
      <c r="G30" s="20">
        <f>SUM(G31:G33)</f>
        <v>184812.99999999997</v>
      </c>
    </row>
    <row r="31" spans="1:7" ht="60" x14ac:dyDescent="0.25">
      <c r="A31" s="1" t="s">
        <v>14</v>
      </c>
      <c r="B31" s="17" t="s">
        <v>41</v>
      </c>
      <c r="C31" s="18" t="s">
        <v>43</v>
      </c>
      <c r="D31" s="19">
        <v>100</v>
      </c>
      <c r="E31" s="31">
        <f>159030.2+1500</f>
        <v>160530.20000000001</v>
      </c>
      <c r="F31" s="31">
        <v>160625.70000000001</v>
      </c>
      <c r="G31" s="31">
        <v>165348.79999999999</v>
      </c>
    </row>
    <row r="32" spans="1:7" ht="30" x14ac:dyDescent="0.25">
      <c r="A32" s="1" t="s">
        <v>21</v>
      </c>
      <c r="B32" s="17" t="s">
        <v>41</v>
      </c>
      <c r="C32" s="18" t="s">
        <v>43</v>
      </c>
      <c r="D32" s="19">
        <v>200</v>
      </c>
      <c r="E32" s="31">
        <f>8446.3-310+2100</f>
        <v>10236.299999999999</v>
      </c>
      <c r="F32" s="31">
        <f>17478.7-0.1</f>
        <v>17478.600000000002</v>
      </c>
      <c r="G32" s="31">
        <v>17439.400000000001</v>
      </c>
    </row>
    <row r="33" spans="1:7" x14ac:dyDescent="0.25">
      <c r="A33" s="22" t="s">
        <v>22</v>
      </c>
      <c r="B33" s="17" t="s">
        <v>41</v>
      </c>
      <c r="C33" s="18" t="s">
        <v>43</v>
      </c>
      <c r="D33" s="19">
        <v>800</v>
      </c>
      <c r="E33" s="31">
        <v>2024.8</v>
      </c>
      <c r="F33" s="31">
        <v>2024.8</v>
      </c>
      <c r="G33" s="31">
        <v>2024.8</v>
      </c>
    </row>
    <row r="34" spans="1:7" x14ac:dyDescent="0.25">
      <c r="A34" s="22" t="s">
        <v>44</v>
      </c>
      <c r="B34" s="24" t="s">
        <v>41</v>
      </c>
      <c r="C34" s="24" t="s">
        <v>45</v>
      </c>
      <c r="D34" s="17"/>
      <c r="E34" s="20">
        <f>E35+E38+E41</f>
        <v>4800.5999999999995</v>
      </c>
      <c r="F34" s="20">
        <f>F35+F38+F41</f>
        <v>4800.5999999999995</v>
      </c>
      <c r="G34" s="20">
        <f>G35+G38+G41</f>
        <v>4800.5</v>
      </c>
    </row>
    <row r="35" spans="1:7" ht="75" x14ac:dyDescent="0.25">
      <c r="A35" s="25" t="s">
        <v>52</v>
      </c>
      <c r="B35" s="17" t="s">
        <v>41</v>
      </c>
      <c r="C35" s="26" t="s">
        <v>53</v>
      </c>
      <c r="D35" s="27"/>
      <c r="E35" s="20">
        <f>SUM(E36:E37)</f>
        <v>1589.1999999999998</v>
      </c>
      <c r="F35" s="20">
        <f>SUM(F36:F37)</f>
        <v>1589.1999999999998</v>
      </c>
      <c r="G35" s="20">
        <f>SUM(G36:G37)</f>
        <v>1589.1999999999998</v>
      </c>
    </row>
    <row r="36" spans="1:7" ht="60" x14ac:dyDescent="0.25">
      <c r="A36" s="1" t="s">
        <v>14</v>
      </c>
      <c r="B36" s="17" t="s">
        <v>41</v>
      </c>
      <c r="C36" s="26" t="s">
        <v>53</v>
      </c>
      <c r="D36" s="27">
        <v>100</v>
      </c>
      <c r="E36" s="31">
        <v>1464.1</v>
      </c>
      <c r="F36" s="31">
        <v>1464.1</v>
      </c>
      <c r="G36" s="31">
        <v>1509.1</v>
      </c>
    </row>
    <row r="37" spans="1:7" ht="30" x14ac:dyDescent="0.25">
      <c r="A37" s="1" t="s">
        <v>21</v>
      </c>
      <c r="B37" s="17" t="s">
        <v>41</v>
      </c>
      <c r="C37" s="26" t="s">
        <v>53</v>
      </c>
      <c r="D37" s="27">
        <v>200</v>
      </c>
      <c r="E37" s="31">
        <v>125.1</v>
      </c>
      <c r="F37" s="31">
        <v>125.1</v>
      </c>
      <c r="G37" s="31">
        <f>125.1-45</f>
        <v>80.099999999999994</v>
      </c>
    </row>
    <row r="38" spans="1:7" ht="150" x14ac:dyDescent="0.25">
      <c r="A38" s="104" t="s">
        <v>46</v>
      </c>
      <c r="B38" s="17" t="s">
        <v>41</v>
      </c>
      <c r="C38" s="18" t="s">
        <v>47</v>
      </c>
      <c r="D38" s="18"/>
      <c r="E38" s="20">
        <f>E39+E40</f>
        <v>1589.1999999999998</v>
      </c>
      <c r="F38" s="20">
        <f>F39+F40</f>
        <v>1589.1999999999998</v>
      </c>
      <c r="G38" s="20">
        <f>G39+G40</f>
        <v>1589.1999999999998</v>
      </c>
    </row>
    <row r="39" spans="1:7" ht="60" x14ac:dyDescent="0.25">
      <c r="A39" s="1" t="s">
        <v>14</v>
      </c>
      <c r="B39" s="17" t="s">
        <v>41</v>
      </c>
      <c r="C39" s="18" t="s">
        <v>47</v>
      </c>
      <c r="D39" s="18" t="s">
        <v>48</v>
      </c>
      <c r="E39" s="31">
        <v>1464.1</v>
      </c>
      <c r="F39" s="31">
        <v>1464.1</v>
      </c>
      <c r="G39" s="31">
        <v>1509.1</v>
      </c>
    </row>
    <row r="40" spans="1:7" ht="30" x14ac:dyDescent="0.25">
      <c r="A40" s="1" t="s">
        <v>21</v>
      </c>
      <c r="B40" s="17" t="s">
        <v>41</v>
      </c>
      <c r="C40" s="18" t="s">
        <v>47</v>
      </c>
      <c r="D40" s="18" t="s">
        <v>49</v>
      </c>
      <c r="E40" s="31">
        <v>125.1</v>
      </c>
      <c r="F40" s="31">
        <v>125.1</v>
      </c>
      <c r="G40" s="31">
        <f>125.1-45</f>
        <v>80.099999999999994</v>
      </c>
    </row>
    <row r="41" spans="1:7" ht="120" x14ac:dyDescent="0.25">
      <c r="A41" s="25" t="s">
        <v>50</v>
      </c>
      <c r="B41" s="17" t="s">
        <v>41</v>
      </c>
      <c r="C41" s="26" t="s">
        <v>51</v>
      </c>
      <c r="D41" s="27"/>
      <c r="E41" s="20">
        <f>E42+E43</f>
        <v>1622.1999999999998</v>
      </c>
      <c r="F41" s="20">
        <f>F42+F43</f>
        <v>1622.1999999999998</v>
      </c>
      <c r="G41" s="20">
        <f>G42+G43</f>
        <v>1622.1</v>
      </c>
    </row>
    <row r="42" spans="1:7" ht="60" x14ac:dyDescent="0.25">
      <c r="A42" s="1" t="s">
        <v>14</v>
      </c>
      <c r="B42" s="17" t="s">
        <v>41</v>
      </c>
      <c r="C42" s="26" t="s">
        <v>51</v>
      </c>
      <c r="D42" s="27">
        <v>100</v>
      </c>
      <c r="E42" s="31">
        <v>1464.1</v>
      </c>
      <c r="F42" s="31">
        <v>1464.1</v>
      </c>
      <c r="G42" s="31">
        <v>1509</v>
      </c>
    </row>
    <row r="43" spans="1:7" ht="30" x14ac:dyDescent="0.25">
      <c r="A43" s="1" t="s">
        <v>21</v>
      </c>
      <c r="B43" s="17" t="s">
        <v>41</v>
      </c>
      <c r="C43" s="26" t="s">
        <v>51</v>
      </c>
      <c r="D43" s="27">
        <v>200</v>
      </c>
      <c r="E43" s="31">
        <v>158.1</v>
      </c>
      <c r="F43" s="31">
        <v>158.1</v>
      </c>
      <c r="G43" s="31">
        <f>158.1-45</f>
        <v>113.1</v>
      </c>
    </row>
    <row r="44" spans="1:7" s="15" customFormat="1" x14ac:dyDescent="0.25">
      <c r="A44" s="117" t="s">
        <v>525</v>
      </c>
      <c r="B44" s="118" t="s">
        <v>528</v>
      </c>
      <c r="C44" s="119"/>
      <c r="D44" s="60"/>
      <c r="E44" s="110">
        <f t="shared" ref="E44:G45" si="2">E45</f>
        <v>851.5</v>
      </c>
      <c r="F44" s="110">
        <f t="shared" si="2"/>
        <v>64</v>
      </c>
      <c r="G44" s="110">
        <f t="shared" si="2"/>
        <v>103.3</v>
      </c>
    </row>
    <row r="45" spans="1:7" x14ac:dyDescent="0.25">
      <c r="A45" s="120" t="s">
        <v>44</v>
      </c>
      <c r="B45" s="121" t="s">
        <v>528</v>
      </c>
      <c r="C45" s="121" t="s">
        <v>45</v>
      </c>
      <c r="D45" s="27"/>
      <c r="E45" s="31">
        <f t="shared" si="2"/>
        <v>851.5</v>
      </c>
      <c r="F45" s="31">
        <f t="shared" si="2"/>
        <v>64</v>
      </c>
      <c r="G45" s="31">
        <f t="shared" si="2"/>
        <v>103.3</v>
      </c>
    </row>
    <row r="46" spans="1:7" ht="120" x14ac:dyDescent="0.25">
      <c r="A46" s="122" t="s">
        <v>526</v>
      </c>
      <c r="B46" s="121" t="s">
        <v>528</v>
      </c>
      <c r="C46" s="123" t="s">
        <v>529</v>
      </c>
      <c r="D46" s="27"/>
      <c r="E46" s="31">
        <f>E47+E48</f>
        <v>851.5</v>
      </c>
      <c r="F46" s="31">
        <f>F47+F48</f>
        <v>64</v>
      </c>
      <c r="G46" s="31">
        <f>G47+G48</f>
        <v>103.3</v>
      </c>
    </row>
    <row r="47" spans="1:7" ht="30" x14ac:dyDescent="0.25">
      <c r="A47" s="104" t="s">
        <v>21</v>
      </c>
      <c r="B47" s="121" t="s">
        <v>528</v>
      </c>
      <c r="C47" s="123" t="s">
        <v>529</v>
      </c>
      <c r="D47" s="27">
        <v>200</v>
      </c>
      <c r="E47" s="31">
        <f>559.1-107.8</f>
        <v>451.3</v>
      </c>
      <c r="F47" s="31">
        <v>0</v>
      </c>
      <c r="G47" s="31">
        <v>0</v>
      </c>
    </row>
    <row r="48" spans="1:7" ht="30" x14ac:dyDescent="0.25">
      <c r="A48" s="30" t="s">
        <v>527</v>
      </c>
      <c r="B48" s="121" t="s">
        <v>528</v>
      </c>
      <c r="C48" s="123" t="s">
        <v>529</v>
      </c>
      <c r="D48" s="27">
        <v>600</v>
      </c>
      <c r="E48" s="31">
        <f>292.4+107.8</f>
        <v>400.2</v>
      </c>
      <c r="F48" s="31">
        <v>64</v>
      </c>
      <c r="G48" s="31">
        <v>103.3</v>
      </c>
    </row>
    <row r="49" spans="1:7" s="15" customFormat="1" ht="43.5" x14ac:dyDescent="0.25">
      <c r="A49" s="10" t="s">
        <v>247</v>
      </c>
      <c r="B49" s="11" t="s">
        <v>248</v>
      </c>
      <c r="C49" s="16"/>
      <c r="D49" s="13"/>
      <c r="E49" s="14">
        <f t="shared" ref="E49:G50" si="3">SUM(E50)</f>
        <v>44734.3</v>
      </c>
      <c r="F49" s="14">
        <f t="shared" si="3"/>
        <v>45140.100000000006</v>
      </c>
      <c r="G49" s="14">
        <f t="shared" si="3"/>
        <v>46362.200000000004</v>
      </c>
    </row>
    <row r="50" spans="1:7" x14ac:dyDescent="0.25">
      <c r="A50" s="1" t="s">
        <v>10</v>
      </c>
      <c r="B50" s="17" t="s">
        <v>248</v>
      </c>
      <c r="C50" s="18" t="s">
        <v>11</v>
      </c>
      <c r="D50" s="19"/>
      <c r="E50" s="20">
        <f t="shared" si="3"/>
        <v>44734.3</v>
      </c>
      <c r="F50" s="20">
        <f t="shared" si="3"/>
        <v>45140.100000000006</v>
      </c>
      <c r="G50" s="20">
        <f t="shared" si="3"/>
        <v>46362.200000000004</v>
      </c>
    </row>
    <row r="51" spans="1:7" ht="30" x14ac:dyDescent="0.25">
      <c r="A51" s="23" t="s">
        <v>42</v>
      </c>
      <c r="B51" s="17" t="s">
        <v>248</v>
      </c>
      <c r="C51" s="18" t="s">
        <v>43</v>
      </c>
      <c r="D51" s="19"/>
      <c r="E51" s="20">
        <f>SUM(E52:E54)</f>
        <v>44734.3</v>
      </c>
      <c r="F51" s="20">
        <f>SUM(F52:F54)</f>
        <v>45140.100000000006</v>
      </c>
      <c r="G51" s="20">
        <f>SUM(G52:G54)</f>
        <v>46362.200000000004</v>
      </c>
    </row>
    <row r="52" spans="1:7" ht="60" x14ac:dyDescent="0.25">
      <c r="A52" s="1" t="s">
        <v>14</v>
      </c>
      <c r="B52" s="17" t="s">
        <v>248</v>
      </c>
      <c r="C52" s="18" t="s">
        <v>43</v>
      </c>
      <c r="D52" s="19">
        <v>100</v>
      </c>
      <c r="E52" s="31">
        <f>27888+12848.4</f>
        <v>40736.400000000001</v>
      </c>
      <c r="F52" s="31">
        <f>28166.9+12976.9</f>
        <v>41143.800000000003</v>
      </c>
      <c r="G52" s="31">
        <f>29003.5+13362.4</f>
        <v>42365.9</v>
      </c>
    </row>
    <row r="53" spans="1:7" s="15" customFormat="1" ht="30" x14ac:dyDescent="0.25">
      <c r="A53" s="1" t="s">
        <v>21</v>
      </c>
      <c r="B53" s="17" t="s">
        <v>248</v>
      </c>
      <c r="C53" s="18" t="s">
        <v>43</v>
      </c>
      <c r="D53" s="19">
        <v>200</v>
      </c>
      <c r="E53" s="31">
        <f>927.4+940.4-31+31+1286.8+753.3</f>
        <v>3907.8999999999996</v>
      </c>
      <c r="F53" s="31">
        <f>1810.7+1805.3-31+31+421.9-131.6</f>
        <v>3906.3</v>
      </c>
      <c r="G53" s="31">
        <f>1806.7+1801.4-31+31+425.8-127.6</f>
        <v>3906.3000000000006</v>
      </c>
    </row>
    <row r="54" spans="1:7" x14ac:dyDescent="0.25">
      <c r="A54" s="22" t="s">
        <v>22</v>
      </c>
      <c r="B54" s="17" t="s">
        <v>248</v>
      </c>
      <c r="C54" s="18" t="s">
        <v>43</v>
      </c>
      <c r="D54" s="19">
        <v>800</v>
      </c>
      <c r="E54" s="31">
        <f>49+10+31</f>
        <v>90</v>
      </c>
      <c r="F54" s="31">
        <f>49+10+31</f>
        <v>90</v>
      </c>
      <c r="G54" s="31">
        <f>49+10+31</f>
        <v>90</v>
      </c>
    </row>
    <row r="55" spans="1:7" s="15" customFormat="1" x14ac:dyDescent="0.25">
      <c r="A55" s="10" t="s">
        <v>477</v>
      </c>
      <c r="B55" s="28" t="s">
        <v>479</v>
      </c>
      <c r="C55" s="16"/>
      <c r="D55" s="13"/>
      <c r="E55" s="14">
        <f>E56</f>
        <v>2258.1999999999998</v>
      </c>
      <c r="F55" s="14">
        <v>0</v>
      </c>
      <c r="G55" s="14">
        <v>0</v>
      </c>
    </row>
    <row r="56" spans="1:7" x14ac:dyDescent="0.25">
      <c r="A56" s="1" t="s">
        <v>10</v>
      </c>
      <c r="B56" s="29" t="s">
        <v>479</v>
      </c>
      <c r="C56" s="18" t="s">
        <v>11</v>
      </c>
      <c r="D56" s="19"/>
      <c r="E56" s="20">
        <f>E57</f>
        <v>2258.1999999999998</v>
      </c>
      <c r="F56" s="20">
        <v>0</v>
      </c>
      <c r="G56" s="20">
        <v>0</v>
      </c>
    </row>
    <row r="57" spans="1:7" x14ac:dyDescent="0.25">
      <c r="A57" s="1" t="s">
        <v>478</v>
      </c>
      <c r="B57" s="29" t="s">
        <v>479</v>
      </c>
      <c r="C57" s="18" t="s">
        <v>480</v>
      </c>
      <c r="D57" s="19"/>
      <c r="E57" s="20">
        <f>E58</f>
        <v>2258.1999999999998</v>
      </c>
      <c r="F57" s="20">
        <v>0</v>
      </c>
      <c r="G57" s="20">
        <v>0</v>
      </c>
    </row>
    <row r="58" spans="1:7" ht="30" x14ac:dyDescent="0.25">
      <c r="A58" s="1" t="s">
        <v>21</v>
      </c>
      <c r="B58" s="29" t="s">
        <v>479</v>
      </c>
      <c r="C58" s="18" t="s">
        <v>480</v>
      </c>
      <c r="D58" s="19">
        <v>200</v>
      </c>
      <c r="E58" s="20">
        <v>2258.1999999999998</v>
      </c>
      <c r="F58" s="20">
        <v>0</v>
      </c>
      <c r="G58" s="20">
        <v>0</v>
      </c>
    </row>
    <row r="59" spans="1:7" x14ac:dyDescent="0.25">
      <c r="A59" s="10" t="s">
        <v>249</v>
      </c>
      <c r="B59" s="11" t="s">
        <v>250</v>
      </c>
      <c r="C59" s="16"/>
      <c r="D59" s="13"/>
      <c r="E59" s="14">
        <f>E60</f>
        <v>30000</v>
      </c>
      <c r="F59" s="14">
        <f t="shared" ref="F59:G61" si="4">F60</f>
        <v>37252.299999999996</v>
      </c>
      <c r="G59" s="14">
        <f t="shared" si="4"/>
        <v>127000</v>
      </c>
    </row>
    <row r="60" spans="1:7" x14ac:dyDescent="0.25">
      <c r="A60" s="1" t="s">
        <v>10</v>
      </c>
      <c r="B60" s="17" t="s">
        <v>250</v>
      </c>
      <c r="C60" s="18" t="s">
        <v>11</v>
      </c>
      <c r="D60" s="19"/>
      <c r="E60" s="20">
        <f>E61</f>
        <v>30000</v>
      </c>
      <c r="F60" s="20">
        <f t="shared" si="4"/>
        <v>37252.299999999996</v>
      </c>
      <c r="G60" s="20">
        <f t="shared" si="4"/>
        <v>127000</v>
      </c>
    </row>
    <row r="61" spans="1:7" x14ac:dyDescent="0.25">
      <c r="A61" s="1" t="s">
        <v>251</v>
      </c>
      <c r="B61" s="17" t="s">
        <v>250</v>
      </c>
      <c r="C61" s="18" t="s">
        <v>252</v>
      </c>
      <c r="D61" s="19"/>
      <c r="E61" s="20">
        <f>E62</f>
        <v>30000</v>
      </c>
      <c r="F61" s="20">
        <f t="shared" si="4"/>
        <v>37252.299999999996</v>
      </c>
      <c r="G61" s="20">
        <f t="shared" si="4"/>
        <v>127000</v>
      </c>
    </row>
    <row r="62" spans="1:7" x14ac:dyDescent="0.25">
      <c r="A62" s="22" t="s">
        <v>22</v>
      </c>
      <c r="B62" s="17" t="s">
        <v>250</v>
      </c>
      <c r="C62" s="18" t="s">
        <v>253</v>
      </c>
      <c r="D62" s="19">
        <v>800</v>
      </c>
      <c r="E62" s="31">
        <f>20000+10000</f>
        <v>30000</v>
      </c>
      <c r="F62" s="31">
        <f>30000+10149.2-2896.9</f>
        <v>37252.299999999996</v>
      </c>
      <c r="G62" s="31">
        <f>30000+97000</f>
        <v>127000</v>
      </c>
    </row>
    <row r="63" spans="1:7" x14ac:dyDescent="0.25">
      <c r="A63" s="10" t="s">
        <v>25</v>
      </c>
      <c r="B63" s="11" t="s">
        <v>26</v>
      </c>
      <c r="C63" s="16"/>
      <c r="D63" s="13"/>
      <c r="E63" s="14">
        <f>E64+E84+E91+E96</f>
        <v>336049.39999999997</v>
      </c>
      <c r="F63" s="14">
        <f>F64+F84+F91+F96</f>
        <v>193163.69999999998</v>
      </c>
      <c r="G63" s="14">
        <f>G64+G84+G91+G96</f>
        <v>186844.79999999996</v>
      </c>
    </row>
    <row r="64" spans="1:7" x14ac:dyDescent="0.25">
      <c r="A64" s="1" t="s">
        <v>10</v>
      </c>
      <c r="B64" s="17" t="s">
        <v>26</v>
      </c>
      <c r="C64" s="18" t="s">
        <v>11</v>
      </c>
      <c r="D64" s="19"/>
      <c r="E64" s="20">
        <f>E65+E69+E73+E78+E82</f>
        <v>249992</v>
      </c>
      <c r="F64" s="20">
        <f>F65+F69+F73+F78+F82</f>
        <v>171329.5</v>
      </c>
      <c r="G64" s="20">
        <f>G65+G69+G73+G78+G82</f>
        <v>164384.99999999997</v>
      </c>
    </row>
    <row r="65" spans="1:7" ht="30" x14ac:dyDescent="0.25">
      <c r="A65" s="30" t="s">
        <v>42</v>
      </c>
      <c r="B65" s="17" t="s">
        <v>26</v>
      </c>
      <c r="C65" s="18" t="s">
        <v>43</v>
      </c>
      <c r="D65" s="19"/>
      <c r="E65" s="20">
        <f>SUM(E66:E68)</f>
        <v>32075.199999999997</v>
      </c>
      <c r="F65" s="20">
        <f>SUM(F66:F68)</f>
        <v>31577.699999999997</v>
      </c>
      <c r="G65" s="20">
        <f>SUM(G66:G68)</f>
        <v>32440.899999999998</v>
      </c>
    </row>
    <row r="66" spans="1:7" ht="60" x14ac:dyDescent="0.25">
      <c r="A66" s="1" t="s">
        <v>14</v>
      </c>
      <c r="B66" s="17" t="s">
        <v>26</v>
      </c>
      <c r="C66" s="18" t="s">
        <v>43</v>
      </c>
      <c r="D66" s="19">
        <v>100</v>
      </c>
      <c r="E66" s="31">
        <v>28922.6</v>
      </c>
      <c r="F66" s="31">
        <v>29211.8</v>
      </c>
      <c r="G66" s="31">
        <v>30079.599999999999</v>
      </c>
    </row>
    <row r="67" spans="1:7" ht="30" x14ac:dyDescent="0.25">
      <c r="A67" s="1" t="s">
        <v>21</v>
      </c>
      <c r="B67" s="17" t="s">
        <v>26</v>
      </c>
      <c r="C67" s="18" t="s">
        <v>43</v>
      </c>
      <c r="D67" s="19">
        <v>200</v>
      </c>
      <c r="E67" s="31">
        <f>1594.7+1327.8</f>
        <v>2922.5</v>
      </c>
      <c r="F67" s="31">
        <v>2135.8000000000002</v>
      </c>
      <c r="G67" s="31">
        <v>2131.1999999999998</v>
      </c>
    </row>
    <row r="68" spans="1:7" x14ac:dyDescent="0.25">
      <c r="A68" s="22" t="s">
        <v>22</v>
      </c>
      <c r="B68" s="17" t="s">
        <v>26</v>
      </c>
      <c r="C68" s="18" t="s">
        <v>43</v>
      </c>
      <c r="D68" s="19">
        <v>800</v>
      </c>
      <c r="E68" s="31">
        <v>230.1</v>
      </c>
      <c r="F68" s="31">
        <v>230.1</v>
      </c>
      <c r="G68" s="31">
        <v>230.1</v>
      </c>
    </row>
    <row r="69" spans="1:7" ht="30" x14ac:dyDescent="0.25">
      <c r="A69" s="22" t="s">
        <v>54</v>
      </c>
      <c r="B69" s="17" t="s">
        <v>26</v>
      </c>
      <c r="C69" s="18" t="s">
        <v>55</v>
      </c>
      <c r="D69" s="19"/>
      <c r="E69" s="20">
        <f>SUM(E70:E72)</f>
        <v>95648.3</v>
      </c>
      <c r="F69" s="20">
        <f>SUM(F70:F72)</f>
        <v>94249.600000000006</v>
      </c>
      <c r="G69" s="20">
        <f>SUM(G70:G72)</f>
        <v>96537.600000000006</v>
      </c>
    </row>
    <row r="70" spans="1:7" ht="60" x14ac:dyDescent="0.25">
      <c r="A70" s="1" t="s">
        <v>14</v>
      </c>
      <c r="B70" s="17" t="s">
        <v>26</v>
      </c>
      <c r="C70" s="18" t="s">
        <v>55</v>
      </c>
      <c r="D70" s="19">
        <v>100</v>
      </c>
      <c r="E70" s="31">
        <f>59928.9+1990</f>
        <v>61918.9</v>
      </c>
      <c r="F70" s="31">
        <f>60528.1+568.9</f>
        <v>61097</v>
      </c>
      <c r="G70" s="31">
        <f>62325.7+568.9</f>
        <v>62894.6</v>
      </c>
    </row>
    <row r="71" spans="1:7" ht="30" x14ac:dyDescent="0.25">
      <c r="A71" s="1" t="s">
        <v>21</v>
      </c>
      <c r="B71" s="17" t="s">
        <v>26</v>
      </c>
      <c r="C71" s="18" t="s">
        <v>55</v>
      </c>
      <c r="D71" s="19">
        <v>200</v>
      </c>
      <c r="E71" s="31">
        <f>22540+310+8180.6</f>
        <v>31030.6</v>
      </c>
      <c r="F71" s="31">
        <v>30453.800000000003</v>
      </c>
      <c r="G71" s="31">
        <v>30944.2</v>
      </c>
    </row>
    <row r="72" spans="1:7" x14ac:dyDescent="0.25">
      <c r="A72" s="22" t="s">
        <v>22</v>
      </c>
      <c r="B72" s="17" t="s">
        <v>26</v>
      </c>
      <c r="C72" s="18" t="s">
        <v>55</v>
      </c>
      <c r="D72" s="19">
        <v>800</v>
      </c>
      <c r="E72" s="31">
        <v>2698.8</v>
      </c>
      <c r="F72" s="31">
        <v>2698.8</v>
      </c>
      <c r="G72" s="31">
        <v>2698.8</v>
      </c>
    </row>
    <row r="73" spans="1:7" x14ac:dyDescent="0.25">
      <c r="A73" s="1" t="s">
        <v>56</v>
      </c>
      <c r="B73" s="17" t="s">
        <v>26</v>
      </c>
      <c r="C73" s="18" t="s">
        <v>57</v>
      </c>
      <c r="D73" s="19"/>
      <c r="E73" s="20">
        <f>E77+E74+E76+E75</f>
        <v>13535.9</v>
      </c>
      <c r="F73" s="20">
        <f t="shared" ref="F73:G73" si="5">F77+F74+F76</f>
        <v>15578.099999999999</v>
      </c>
      <c r="G73" s="20">
        <f t="shared" si="5"/>
        <v>34867.099999999991</v>
      </c>
    </row>
    <row r="74" spans="1:7" ht="30" x14ac:dyDescent="0.25">
      <c r="A74" s="1" t="s">
        <v>21</v>
      </c>
      <c r="B74" s="17" t="s">
        <v>26</v>
      </c>
      <c r="C74" s="18" t="s">
        <v>57</v>
      </c>
      <c r="D74" s="19">
        <v>200</v>
      </c>
      <c r="E74" s="20">
        <f>144+6783.1</f>
        <v>6927.1</v>
      </c>
      <c r="F74" s="20">
        <v>0</v>
      </c>
      <c r="G74" s="20">
        <v>0</v>
      </c>
    </row>
    <row r="75" spans="1:7" x14ac:dyDescent="0.25">
      <c r="A75" s="1" t="s">
        <v>29</v>
      </c>
      <c r="B75" s="17" t="s">
        <v>26</v>
      </c>
      <c r="C75" s="18" t="s">
        <v>57</v>
      </c>
      <c r="D75" s="19">
        <v>300</v>
      </c>
      <c r="E75" s="20">
        <v>750</v>
      </c>
      <c r="F75" s="20">
        <v>0</v>
      </c>
      <c r="G75" s="20">
        <v>0</v>
      </c>
    </row>
    <row r="76" spans="1:7" ht="30" x14ac:dyDescent="0.25">
      <c r="A76" s="104" t="s">
        <v>66</v>
      </c>
      <c r="B76" s="17" t="s">
        <v>26</v>
      </c>
      <c r="C76" s="18" t="s">
        <v>57</v>
      </c>
      <c r="D76" s="19">
        <v>600</v>
      </c>
      <c r="E76" s="20">
        <v>968.5</v>
      </c>
      <c r="F76" s="20">
        <v>0</v>
      </c>
      <c r="G76" s="20">
        <v>0</v>
      </c>
    </row>
    <row r="77" spans="1:7" x14ac:dyDescent="0.25">
      <c r="A77" s="22" t="s">
        <v>22</v>
      </c>
      <c r="B77" s="17" t="s">
        <v>26</v>
      </c>
      <c r="C77" s="18" t="s">
        <v>57</v>
      </c>
      <c r="D77" s="19">
        <v>800</v>
      </c>
      <c r="E77" s="31">
        <f>17319.4+85.6-2707.2+374.6-300-3344+2900-9465.6+27.5</f>
        <v>4890.2999999999993</v>
      </c>
      <c r="F77" s="31">
        <f>14865.8+85.6-280.6+131.6-8745.6+775.7+8745.6</f>
        <v>15578.099999999999</v>
      </c>
      <c r="G77" s="31">
        <f>25773.1+85.6-201.6+127.6+8306.7+775.7</f>
        <v>34867.099999999991</v>
      </c>
    </row>
    <row r="78" spans="1:7" x14ac:dyDescent="0.25">
      <c r="A78" s="22" t="s">
        <v>58</v>
      </c>
      <c r="B78" s="17" t="s">
        <v>26</v>
      </c>
      <c r="C78" s="18" t="s">
        <v>59</v>
      </c>
      <c r="D78" s="19"/>
      <c r="E78" s="20">
        <f>+E80+E81+E79</f>
        <v>108315.8</v>
      </c>
      <c r="F78" s="20">
        <f>+F80+F81+F79</f>
        <v>29384.2</v>
      </c>
      <c r="G78" s="20">
        <f>+G80+G81+G79</f>
        <v>0</v>
      </c>
    </row>
    <row r="79" spans="1:7" ht="30" x14ac:dyDescent="0.25">
      <c r="A79" s="1" t="s">
        <v>21</v>
      </c>
      <c r="B79" s="17" t="s">
        <v>26</v>
      </c>
      <c r="C79" s="18" t="s">
        <v>59</v>
      </c>
      <c r="D79" s="19">
        <v>200</v>
      </c>
      <c r="E79" s="31">
        <f>17931.3+10</f>
        <v>17941.3</v>
      </c>
      <c r="F79" s="31">
        <v>0</v>
      </c>
      <c r="G79" s="31">
        <v>0</v>
      </c>
    </row>
    <row r="80" spans="1:7" ht="30" x14ac:dyDescent="0.25">
      <c r="A80" s="32" t="s">
        <v>87</v>
      </c>
      <c r="B80" s="17" t="s">
        <v>26</v>
      </c>
      <c r="C80" s="18" t="s">
        <v>59</v>
      </c>
      <c r="D80" s="19">
        <v>400</v>
      </c>
      <c r="E80" s="31">
        <f>68439.8-24439.8-24439.8+24439.8</f>
        <v>44000</v>
      </c>
      <c r="F80" s="31">
        <v>29384.2</v>
      </c>
      <c r="G80" s="31">
        <v>0</v>
      </c>
    </row>
    <row r="81" spans="1:7" x14ac:dyDescent="0.25">
      <c r="A81" s="22" t="s">
        <v>22</v>
      </c>
      <c r="B81" s="17" t="s">
        <v>26</v>
      </c>
      <c r="C81" s="18" t="s">
        <v>59</v>
      </c>
      <c r="D81" s="19">
        <v>800</v>
      </c>
      <c r="E81" s="31">
        <f>19623.7+24739.8+24739.8-22728.8</f>
        <v>46374.5</v>
      </c>
      <c r="F81" s="31">
        <v>0</v>
      </c>
      <c r="G81" s="31">
        <v>0</v>
      </c>
    </row>
    <row r="82" spans="1:7" ht="30" x14ac:dyDescent="0.25">
      <c r="A82" s="1" t="s">
        <v>27</v>
      </c>
      <c r="B82" s="17" t="s">
        <v>26</v>
      </c>
      <c r="C82" s="18" t="s">
        <v>28</v>
      </c>
      <c r="D82" s="19"/>
      <c r="E82" s="20">
        <f>E83</f>
        <v>416.80000000000007</v>
      </c>
      <c r="F82" s="20">
        <f>F83</f>
        <v>539.9</v>
      </c>
      <c r="G82" s="20">
        <f>G83</f>
        <v>539.4</v>
      </c>
    </row>
    <row r="83" spans="1:7" x14ac:dyDescent="0.25">
      <c r="A83" s="1" t="s">
        <v>29</v>
      </c>
      <c r="B83" s="17" t="s">
        <v>26</v>
      </c>
      <c r="C83" s="18" t="s">
        <v>28</v>
      </c>
      <c r="D83" s="19">
        <v>300</v>
      </c>
      <c r="E83" s="31">
        <f>126.9+129.3+160.6</f>
        <v>416.80000000000007</v>
      </c>
      <c r="F83" s="31">
        <f>247.7+252.4+39.8</f>
        <v>539.9</v>
      </c>
      <c r="G83" s="31">
        <f>247.1+251.9+40.4</f>
        <v>539.4</v>
      </c>
    </row>
    <row r="84" spans="1:7" ht="30" x14ac:dyDescent="0.25">
      <c r="A84" s="33" t="s">
        <v>266</v>
      </c>
      <c r="B84" s="34" t="s">
        <v>26</v>
      </c>
      <c r="C84" s="34" t="s">
        <v>267</v>
      </c>
      <c r="D84" s="35"/>
      <c r="E84" s="20">
        <f>SUM(E85)</f>
        <v>21951.200000000001</v>
      </c>
      <c r="F84" s="20">
        <f t="shared" ref="F84:G86" si="6">SUM(F85)</f>
        <v>21251.8</v>
      </c>
      <c r="G84" s="20">
        <f t="shared" si="6"/>
        <v>21877.399999999998</v>
      </c>
    </row>
    <row r="85" spans="1:7" ht="45" x14ac:dyDescent="0.25">
      <c r="A85" s="33" t="s">
        <v>440</v>
      </c>
      <c r="B85" s="34" t="s">
        <v>26</v>
      </c>
      <c r="C85" s="34" t="s">
        <v>441</v>
      </c>
      <c r="D85" s="35"/>
      <c r="E85" s="20">
        <f>SUM(E86)</f>
        <v>21951.200000000001</v>
      </c>
      <c r="F85" s="20">
        <f t="shared" si="6"/>
        <v>21251.8</v>
      </c>
      <c r="G85" s="20">
        <f t="shared" si="6"/>
        <v>21877.399999999998</v>
      </c>
    </row>
    <row r="86" spans="1:7" ht="45" x14ac:dyDescent="0.25">
      <c r="A86" s="33" t="s">
        <v>442</v>
      </c>
      <c r="B86" s="34" t="s">
        <v>26</v>
      </c>
      <c r="C86" s="34" t="s">
        <v>443</v>
      </c>
      <c r="D86" s="35"/>
      <c r="E86" s="20">
        <f>SUM(E87)</f>
        <v>21951.200000000001</v>
      </c>
      <c r="F86" s="20">
        <f t="shared" si="6"/>
        <v>21251.8</v>
      </c>
      <c r="G86" s="20">
        <f t="shared" si="6"/>
        <v>21877.399999999998</v>
      </c>
    </row>
    <row r="87" spans="1:7" ht="30" x14ac:dyDescent="0.25">
      <c r="A87" s="36" t="s">
        <v>64</v>
      </c>
      <c r="B87" s="34" t="s">
        <v>26</v>
      </c>
      <c r="C87" s="34" t="s">
        <v>430</v>
      </c>
      <c r="D87" s="35"/>
      <c r="E87" s="20">
        <f>SUM(E88:E90)</f>
        <v>21951.200000000001</v>
      </c>
      <c r="F87" s="20">
        <f>SUM(F88:F90)</f>
        <v>21251.8</v>
      </c>
      <c r="G87" s="20">
        <f>SUM(G88:G90)</f>
        <v>21877.399999999998</v>
      </c>
    </row>
    <row r="88" spans="1:7" ht="60" x14ac:dyDescent="0.25">
      <c r="A88" s="36" t="s">
        <v>431</v>
      </c>
      <c r="B88" s="34" t="s">
        <v>26</v>
      </c>
      <c r="C88" s="34" t="s">
        <v>430</v>
      </c>
      <c r="D88" s="35">
        <v>100</v>
      </c>
      <c r="E88" s="31">
        <f>20061.3+802.5</f>
        <v>20863.8</v>
      </c>
      <c r="F88" s="31">
        <v>20262</v>
      </c>
      <c r="G88" s="31">
        <v>20863.8</v>
      </c>
    </row>
    <row r="89" spans="1:7" ht="30" x14ac:dyDescent="0.25">
      <c r="A89" s="36" t="s">
        <v>472</v>
      </c>
      <c r="B89" s="34" t="s">
        <v>26</v>
      </c>
      <c r="C89" s="34" t="s">
        <v>430</v>
      </c>
      <c r="D89" s="35">
        <v>200</v>
      </c>
      <c r="E89" s="31">
        <f>491.4+500</f>
        <v>991.4</v>
      </c>
      <c r="F89" s="31">
        <v>893.8</v>
      </c>
      <c r="G89" s="31">
        <v>917.6</v>
      </c>
    </row>
    <row r="90" spans="1:7" x14ac:dyDescent="0.25">
      <c r="A90" s="22" t="s">
        <v>22</v>
      </c>
      <c r="B90" s="34" t="s">
        <v>26</v>
      </c>
      <c r="C90" s="34" t="s">
        <v>430</v>
      </c>
      <c r="D90" s="35">
        <v>800</v>
      </c>
      <c r="E90" s="31">
        <v>96</v>
      </c>
      <c r="F90" s="31">
        <v>96</v>
      </c>
      <c r="G90" s="31">
        <v>96</v>
      </c>
    </row>
    <row r="91" spans="1:7" ht="60" x14ac:dyDescent="0.25">
      <c r="A91" s="33" t="s">
        <v>272</v>
      </c>
      <c r="B91" s="37" t="s">
        <v>26</v>
      </c>
      <c r="C91" s="37" t="s">
        <v>108</v>
      </c>
      <c r="D91" s="35"/>
      <c r="E91" s="20">
        <f>SUM(E92)</f>
        <v>321.60000000000002</v>
      </c>
      <c r="F91" s="20">
        <f t="shared" ref="F91:G94" si="7">SUM(F92)</f>
        <v>582.4</v>
      </c>
      <c r="G91" s="20">
        <f t="shared" si="7"/>
        <v>582.4</v>
      </c>
    </row>
    <row r="92" spans="1:7" ht="30" x14ac:dyDescent="0.25">
      <c r="A92" s="22" t="s">
        <v>432</v>
      </c>
      <c r="B92" s="37" t="s">
        <v>26</v>
      </c>
      <c r="C92" s="37" t="s">
        <v>433</v>
      </c>
      <c r="D92" s="35"/>
      <c r="E92" s="20">
        <f>SUM(E93)</f>
        <v>321.60000000000002</v>
      </c>
      <c r="F92" s="20">
        <f t="shared" si="7"/>
        <v>582.4</v>
      </c>
      <c r="G92" s="20">
        <f t="shared" si="7"/>
        <v>582.4</v>
      </c>
    </row>
    <row r="93" spans="1:7" ht="45" x14ac:dyDescent="0.25">
      <c r="A93" s="22" t="s">
        <v>434</v>
      </c>
      <c r="B93" s="37" t="s">
        <v>26</v>
      </c>
      <c r="C93" s="37" t="s">
        <v>435</v>
      </c>
      <c r="D93" s="35"/>
      <c r="E93" s="20">
        <f>SUM(E94)</f>
        <v>321.60000000000002</v>
      </c>
      <c r="F93" s="20">
        <f t="shared" si="7"/>
        <v>582.4</v>
      </c>
      <c r="G93" s="20">
        <f t="shared" si="7"/>
        <v>582.4</v>
      </c>
    </row>
    <row r="94" spans="1:7" ht="30" x14ac:dyDescent="0.25">
      <c r="A94" s="22" t="s">
        <v>436</v>
      </c>
      <c r="B94" s="37" t="s">
        <v>26</v>
      </c>
      <c r="C94" s="37" t="s">
        <v>437</v>
      </c>
      <c r="D94" s="35"/>
      <c r="E94" s="20">
        <f>SUM(E95)</f>
        <v>321.60000000000002</v>
      </c>
      <c r="F94" s="20">
        <f t="shared" si="7"/>
        <v>582.4</v>
      </c>
      <c r="G94" s="20">
        <f t="shared" si="7"/>
        <v>582.4</v>
      </c>
    </row>
    <row r="95" spans="1:7" ht="30" x14ac:dyDescent="0.25">
      <c r="A95" s="38" t="s">
        <v>21</v>
      </c>
      <c r="B95" s="37" t="s">
        <v>26</v>
      </c>
      <c r="C95" s="37" t="s">
        <v>437</v>
      </c>
      <c r="D95" s="35">
        <v>200</v>
      </c>
      <c r="E95" s="31">
        <v>321.60000000000002</v>
      </c>
      <c r="F95" s="31">
        <v>582.4</v>
      </c>
      <c r="G95" s="31">
        <v>582.4</v>
      </c>
    </row>
    <row r="96" spans="1:7" ht="30" x14ac:dyDescent="0.25">
      <c r="A96" s="33" t="s">
        <v>60</v>
      </c>
      <c r="B96" s="34" t="s">
        <v>26</v>
      </c>
      <c r="C96" s="34" t="s">
        <v>61</v>
      </c>
      <c r="D96" s="35"/>
      <c r="E96" s="20">
        <f>E97</f>
        <v>63784.6</v>
      </c>
      <c r="F96" s="20">
        <f t="shared" ref="F96:G96" si="8">F97</f>
        <v>0</v>
      </c>
      <c r="G96" s="20">
        <f t="shared" si="8"/>
        <v>0</v>
      </c>
    </row>
    <row r="97" spans="1:7" ht="30" x14ac:dyDescent="0.25">
      <c r="A97" s="33" t="s">
        <v>62</v>
      </c>
      <c r="B97" s="34" t="s">
        <v>26</v>
      </c>
      <c r="C97" s="34" t="s">
        <v>63</v>
      </c>
      <c r="D97" s="35"/>
      <c r="E97" s="20">
        <f>E98+E100</f>
        <v>63784.6</v>
      </c>
      <c r="F97" s="20">
        <f t="shared" ref="F97:G97" si="9">F98+F100</f>
        <v>0</v>
      </c>
      <c r="G97" s="20">
        <f t="shared" si="9"/>
        <v>0</v>
      </c>
    </row>
    <row r="98" spans="1:7" ht="30" x14ac:dyDescent="0.25">
      <c r="A98" s="36" t="s">
        <v>64</v>
      </c>
      <c r="B98" s="34" t="s">
        <v>26</v>
      </c>
      <c r="C98" s="34" t="s">
        <v>65</v>
      </c>
      <c r="D98" s="35"/>
      <c r="E98" s="20">
        <f>SUM(E99)</f>
        <v>38639.1</v>
      </c>
      <c r="F98" s="20">
        <f t="shared" ref="F98:G98" si="10">SUM(F99)</f>
        <v>0</v>
      </c>
      <c r="G98" s="20">
        <f t="shared" si="10"/>
        <v>0</v>
      </c>
    </row>
    <row r="99" spans="1:7" ht="30" x14ac:dyDescent="0.25">
      <c r="A99" s="36" t="s">
        <v>66</v>
      </c>
      <c r="B99" s="34" t="s">
        <v>26</v>
      </c>
      <c r="C99" s="34" t="s">
        <v>65</v>
      </c>
      <c r="D99" s="35">
        <v>600</v>
      </c>
      <c r="E99" s="31">
        <f>37299.3+461.6+878.2</f>
        <v>38639.1</v>
      </c>
      <c r="F99" s="31">
        <f>775.7-775.7</f>
        <v>0</v>
      </c>
      <c r="G99" s="126">
        <f>775.7-775.7</f>
        <v>0</v>
      </c>
    </row>
    <row r="100" spans="1:7" ht="120" x14ac:dyDescent="0.25">
      <c r="A100" s="127" t="s">
        <v>537</v>
      </c>
      <c r="B100" s="34" t="s">
        <v>26</v>
      </c>
      <c r="C100" s="101" t="s">
        <v>538</v>
      </c>
      <c r="D100" s="35"/>
      <c r="E100" s="31">
        <f>E101</f>
        <v>25145.5</v>
      </c>
      <c r="F100" s="31">
        <f t="shared" ref="F100:G100" si="11">F101</f>
        <v>0</v>
      </c>
      <c r="G100" s="31">
        <f t="shared" si="11"/>
        <v>0</v>
      </c>
    </row>
    <row r="101" spans="1:7" ht="30" x14ac:dyDescent="0.25">
      <c r="A101" s="104" t="s">
        <v>21</v>
      </c>
      <c r="B101" s="34" t="s">
        <v>26</v>
      </c>
      <c r="C101" s="101" t="s">
        <v>538</v>
      </c>
      <c r="D101" s="35">
        <v>200</v>
      </c>
      <c r="E101" s="31">
        <v>25145.5</v>
      </c>
      <c r="F101" s="31">
        <v>0</v>
      </c>
      <c r="G101" s="128">
        <v>0</v>
      </c>
    </row>
    <row r="102" spans="1:7" x14ac:dyDescent="0.25">
      <c r="A102" s="10" t="s">
        <v>67</v>
      </c>
      <c r="B102" s="11" t="s">
        <v>68</v>
      </c>
      <c r="C102" s="16"/>
      <c r="D102" s="13"/>
      <c r="E102" s="14">
        <f t="shared" ref="E102:G103" si="12">E103</f>
        <v>1040.5</v>
      </c>
      <c r="F102" s="14">
        <f t="shared" si="12"/>
        <v>1249.7</v>
      </c>
      <c r="G102" s="14">
        <f t="shared" si="12"/>
        <v>1247</v>
      </c>
    </row>
    <row r="103" spans="1:7" x14ac:dyDescent="0.25">
      <c r="A103" s="10" t="s">
        <v>69</v>
      </c>
      <c r="B103" s="11" t="s">
        <v>70</v>
      </c>
      <c r="C103" s="16"/>
      <c r="D103" s="13"/>
      <c r="E103" s="14">
        <f>E104</f>
        <v>1040.5</v>
      </c>
      <c r="F103" s="14">
        <f t="shared" si="12"/>
        <v>1249.7</v>
      </c>
      <c r="G103" s="14">
        <f t="shared" si="12"/>
        <v>1247</v>
      </c>
    </row>
    <row r="104" spans="1:7" s="15" customFormat="1" x14ac:dyDescent="0.25">
      <c r="A104" s="1" t="s">
        <v>10</v>
      </c>
      <c r="B104" s="17" t="s">
        <v>70</v>
      </c>
      <c r="C104" s="18" t="s">
        <v>11</v>
      </c>
      <c r="D104" s="19"/>
      <c r="E104" s="20">
        <f>SUM(E105+E107)</f>
        <v>1040.5</v>
      </c>
      <c r="F104" s="20">
        <f>SUM(F105+F107)</f>
        <v>1249.7</v>
      </c>
      <c r="G104" s="20">
        <f>SUM(G105+G107)</f>
        <v>1247</v>
      </c>
    </row>
    <row r="105" spans="1:7" x14ac:dyDescent="0.25">
      <c r="A105" s="1" t="s">
        <v>71</v>
      </c>
      <c r="B105" s="17" t="s">
        <v>70</v>
      </c>
      <c r="C105" s="18" t="s">
        <v>72</v>
      </c>
      <c r="D105" s="19"/>
      <c r="E105" s="20">
        <f>E106</f>
        <v>290</v>
      </c>
      <c r="F105" s="20">
        <f>F106</f>
        <v>614.5</v>
      </c>
      <c r="G105" s="20">
        <f>G106</f>
        <v>0</v>
      </c>
    </row>
    <row r="106" spans="1:7" ht="30" x14ac:dyDescent="0.25">
      <c r="A106" s="1" t="s">
        <v>21</v>
      </c>
      <c r="B106" s="17" t="s">
        <v>70</v>
      </c>
      <c r="C106" s="18" t="s">
        <v>72</v>
      </c>
      <c r="D106" s="19">
        <v>200</v>
      </c>
      <c r="E106" s="31">
        <f>180.5+109.5</f>
        <v>290</v>
      </c>
      <c r="F106" s="31">
        <v>614.5</v>
      </c>
      <c r="G106" s="31">
        <v>0</v>
      </c>
    </row>
    <row r="107" spans="1:7" x14ac:dyDescent="0.25">
      <c r="A107" s="1" t="s">
        <v>73</v>
      </c>
      <c r="B107" s="17" t="s">
        <v>70</v>
      </c>
      <c r="C107" s="18" t="s">
        <v>74</v>
      </c>
      <c r="D107" s="19"/>
      <c r="E107" s="20">
        <f>E109+E110+E108</f>
        <v>750.5</v>
      </c>
      <c r="F107" s="20">
        <f t="shared" ref="F107:G107" si="13">F109+F110+F108</f>
        <v>635.20000000000005</v>
      </c>
      <c r="G107" s="20">
        <f t="shared" si="13"/>
        <v>1247</v>
      </c>
    </row>
    <row r="108" spans="1:7" ht="60" x14ac:dyDescent="0.25">
      <c r="A108" s="104" t="s">
        <v>14</v>
      </c>
      <c r="B108" s="17" t="s">
        <v>70</v>
      </c>
      <c r="C108" s="18" t="s">
        <v>74</v>
      </c>
      <c r="D108" s="19">
        <v>100</v>
      </c>
      <c r="E108" s="20">
        <v>290.5</v>
      </c>
      <c r="F108" s="20">
        <v>0</v>
      </c>
      <c r="G108" s="20">
        <v>0</v>
      </c>
    </row>
    <row r="109" spans="1:7" ht="30" x14ac:dyDescent="0.25">
      <c r="A109" s="1" t="s">
        <v>21</v>
      </c>
      <c r="B109" s="17" t="s">
        <v>70</v>
      </c>
      <c r="C109" s="18" t="s">
        <v>74</v>
      </c>
      <c r="D109" s="19">
        <v>200</v>
      </c>
      <c r="E109" s="31">
        <v>450</v>
      </c>
      <c r="F109" s="31">
        <v>625.20000000000005</v>
      </c>
      <c r="G109" s="31">
        <v>1237</v>
      </c>
    </row>
    <row r="110" spans="1:7" x14ac:dyDescent="0.25">
      <c r="A110" s="1" t="s">
        <v>29</v>
      </c>
      <c r="B110" s="17" t="s">
        <v>70</v>
      </c>
      <c r="C110" s="18" t="s">
        <v>74</v>
      </c>
      <c r="D110" s="19">
        <v>300</v>
      </c>
      <c r="E110" s="31">
        <v>10</v>
      </c>
      <c r="F110" s="31">
        <v>10</v>
      </c>
      <c r="G110" s="31">
        <v>10</v>
      </c>
    </row>
    <row r="111" spans="1:7" ht="29.25" x14ac:dyDescent="0.25">
      <c r="A111" s="10" t="s">
        <v>301</v>
      </c>
      <c r="B111" s="11" t="s">
        <v>302</v>
      </c>
      <c r="C111" s="16"/>
      <c r="D111" s="13"/>
      <c r="E111" s="14">
        <f t="shared" ref="E111:G112" si="14">SUM(E112)</f>
        <v>83618.599999999991</v>
      </c>
      <c r="F111" s="14">
        <f t="shared" si="14"/>
        <v>86552</v>
      </c>
      <c r="G111" s="14">
        <f t="shared" si="14"/>
        <v>87943.5</v>
      </c>
    </row>
    <row r="112" spans="1:7" ht="29.25" x14ac:dyDescent="0.25">
      <c r="A112" s="39" t="s">
        <v>303</v>
      </c>
      <c r="B112" s="11" t="s">
        <v>304</v>
      </c>
      <c r="C112" s="16"/>
      <c r="D112" s="13"/>
      <c r="E112" s="14">
        <f t="shared" si="14"/>
        <v>83618.599999999991</v>
      </c>
      <c r="F112" s="14">
        <f t="shared" si="14"/>
        <v>86552</v>
      </c>
      <c r="G112" s="14">
        <f t="shared" si="14"/>
        <v>87943.5</v>
      </c>
    </row>
    <row r="113" spans="1:7" ht="45" x14ac:dyDescent="0.25">
      <c r="A113" s="23" t="s">
        <v>79</v>
      </c>
      <c r="B113" s="17" t="s">
        <v>304</v>
      </c>
      <c r="C113" s="18" t="s">
        <v>80</v>
      </c>
      <c r="D113" s="19"/>
      <c r="E113" s="20">
        <f>SUM(E114+E120+E127+E132)</f>
        <v>83618.599999999991</v>
      </c>
      <c r="F113" s="20">
        <f>SUM(F114+F120+F127+F132)</f>
        <v>86552</v>
      </c>
      <c r="G113" s="20">
        <f>SUM(G114+G120+G127+G132)</f>
        <v>87943.5</v>
      </c>
    </row>
    <row r="114" spans="1:7" ht="30" x14ac:dyDescent="0.25">
      <c r="A114" s="23" t="s">
        <v>305</v>
      </c>
      <c r="B114" s="17" t="s">
        <v>304</v>
      </c>
      <c r="C114" s="18" t="s">
        <v>306</v>
      </c>
      <c r="D114" s="19"/>
      <c r="E114" s="20">
        <f>SUM(E115)</f>
        <v>25396</v>
      </c>
      <c r="F114" s="20">
        <f>SUM(F115)</f>
        <v>30697.5</v>
      </c>
      <c r="G114" s="20">
        <f>SUM(G115)</f>
        <v>30611.1</v>
      </c>
    </row>
    <row r="115" spans="1:7" ht="30" x14ac:dyDescent="0.25">
      <c r="A115" s="23" t="s">
        <v>307</v>
      </c>
      <c r="B115" s="17" t="s">
        <v>304</v>
      </c>
      <c r="C115" s="18" t="s">
        <v>308</v>
      </c>
      <c r="D115" s="19"/>
      <c r="E115" s="20">
        <f>SUM(E116+E118)</f>
        <v>25396</v>
      </c>
      <c r="F115" s="20">
        <f t="shared" ref="F115:G115" si="15">SUM(F116+F118)</f>
        <v>30697.5</v>
      </c>
      <c r="G115" s="20">
        <f t="shared" si="15"/>
        <v>30611.1</v>
      </c>
    </row>
    <row r="116" spans="1:7" s="15" customFormat="1" ht="30" x14ac:dyDescent="0.25">
      <c r="A116" s="23" t="s">
        <v>469</v>
      </c>
      <c r="B116" s="17" t="s">
        <v>304</v>
      </c>
      <c r="C116" s="18" t="s">
        <v>309</v>
      </c>
      <c r="D116" s="19"/>
      <c r="E116" s="20">
        <f>E117</f>
        <v>24855.8</v>
      </c>
      <c r="F116" s="20">
        <f>F117</f>
        <v>30240</v>
      </c>
      <c r="G116" s="20">
        <f>G117</f>
        <v>30240</v>
      </c>
    </row>
    <row r="117" spans="1:7" s="15" customFormat="1" ht="30" x14ac:dyDescent="0.25">
      <c r="A117" s="1" t="s">
        <v>21</v>
      </c>
      <c r="B117" s="17" t="s">
        <v>304</v>
      </c>
      <c r="C117" s="18" t="s">
        <v>309</v>
      </c>
      <c r="D117" s="19">
        <v>200</v>
      </c>
      <c r="E117" s="31">
        <f>16696.3+8159.5</f>
        <v>24855.8</v>
      </c>
      <c r="F117" s="31">
        <v>30240</v>
      </c>
      <c r="G117" s="31">
        <v>30240</v>
      </c>
    </row>
    <row r="118" spans="1:7" s="15" customFormat="1" ht="90" x14ac:dyDescent="0.25">
      <c r="A118" s="104" t="s">
        <v>515</v>
      </c>
      <c r="B118" s="17" t="s">
        <v>304</v>
      </c>
      <c r="C118" s="18" t="s">
        <v>516</v>
      </c>
      <c r="D118" s="19"/>
      <c r="E118" s="31">
        <f>E119</f>
        <v>540.20000000000005</v>
      </c>
      <c r="F118" s="31">
        <f t="shared" ref="F118:G118" si="16">F119</f>
        <v>457.5</v>
      </c>
      <c r="G118" s="31">
        <f t="shared" si="16"/>
        <v>371.09999999999997</v>
      </c>
    </row>
    <row r="119" spans="1:7" s="15" customFormat="1" ht="30" x14ac:dyDescent="0.25">
      <c r="A119" s="104" t="s">
        <v>21</v>
      </c>
      <c r="B119" s="17" t="s">
        <v>304</v>
      </c>
      <c r="C119" s="18" t="s">
        <v>516</v>
      </c>
      <c r="D119" s="19">
        <v>200</v>
      </c>
      <c r="E119" s="31">
        <f>374.8+0.1+165.3</f>
        <v>540.20000000000005</v>
      </c>
      <c r="F119" s="31">
        <v>457.5</v>
      </c>
      <c r="G119" s="31">
        <f>371.2-0.1</f>
        <v>371.09999999999997</v>
      </c>
    </row>
    <row r="120" spans="1:7" ht="45" x14ac:dyDescent="0.25">
      <c r="A120" s="1" t="s">
        <v>310</v>
      </c>
      <c r="B120" s="17" t="s">
        <v>304</v>
      </c>
      <c r="C120" s="18" t="s">
        <v>311</v>
      </c>
      <c r="D120" s="19"/>
      <c r="E120" s="20">
        <f>SUM(E121)</f>
        <v>2294.1</v>
      </c>
      <c r="F120" s="20">
        <f>SUM(F121)</f>
        <v>2183.6</v>
      </c>
      <c r="G120" s="20">
        <f>SUM(G121)</f>
        <v>2242.7999999999997</v>
      </c>
    </row>
    <row r="121" spans="1:7" ht="30" x14ac:dyDescent="0.25">
      <c r="A121" s="1" t="s">
        <v>312</v>
      </c>
      <c r="B121" s="17" t="s">
        <v>304</v>
      </c>
      <c r="C121" s="18" t="s">
        <v>313</v>
      </c>
      <c r="D121" s="19"/>
      <c r="E121" s="20">
        <f>SUM(E122+E124)</f>
        <v>2294.1</v>
      </c>
      <c r="F121" s="20">
        <f>SUM(F122+F124)</f>
        <v>2183.6</v>
      </c>
      <c r="G121" s="20">
        <f t="shared" ref="G121" si="17">SUM(G122+G124)</f>
        <v>2242.7999999999997</v>
      </c>
    </row>
    <row r="122" spans="1:7" ht="30" x14ac:dyDescent="0.25">
      <c r="A122" s="1" t="s">
        <v>314</v>
      </c>
      <c r="B122" s="24" t="s">
        <v>304</v>
      </c>
      <c r="C122" s="29" t="s">
        <v>315</v>
      </c>
      <c r="D122" s="24"/>
      <c r="E122" s="20">
        <f>E123</f>
        <v>92</v>
      </c>
      <c r="F122" s="20">
        <f>F123</f>
        <v>179.5</v>
      </c>
      <c r="G122" s="20">
        <f>G123</f>
        <v>179.10000000000002</v>
      </c>
    </row>
    <row r="123" spans="1:7" ht="30" x14ac:dyDescent="0.25">
      <c r="A123" s="1" t="s">
        <v>21</v>
      </c>
      <c r="B123" s="24" t="s">
        <v>304</v>
      </c>
      <c r="C123" s="29" t="s">
        <v>315</v>
      </c>
      <c r="D123" s="24" t="s">
        <v>49</v>
      </c>
      <c r="E123" s="31">
        <v>92</v>
      </c>
      <c r="F123" s="31">
        <v>179.5</v>
      </c>
      <c r="G123" s="31">
        <v>179.10000000000002</v>
      </c>
    </row>
    <row r="124" spans="1:7" ht="30" x14ac:dyDescent="0.25">
      <c r="A124" s="38" t="s">
        <v>316</v>
      </c>
      <c r="B124" s="17" t="s">
        <v>304</v>
      </c>
      <c r="C124" s="29" t="s">
        <v>317</v>
      </c>
      <c r="D124" s="19"/>
      <c r="E124" s="20">
        <f>E125+E126</f>
        <v>2202.1</v>
      </c>
      <c r="F124" s="20">
        <f>F125+F126</f>
        <v>2004.1</v>
      </c>
      <c r="G124" s="20">
        <f>G125+G126</f>
        <v>2063.6999999999998</v>
      </c>
    </row>
    <row r="125" spans="1:7" ht="60" x14ac:dyDescent="0.25">
      <c r="A125" s="1" t="s">
        <v>14</v>
      </c>
      <c r="B125" s="17" t="s">
        <v>304</v>
      </c>
      <c r="C125" s="29" t="s">
        <v>317</v>
      </c>
      <c r="D125" s="19">
        <v>100</v>
      </c>
      <c r="E125" s="31">
        <v>1984.3</v>
      </c>
      <c r="F125" s="31">
        <v>2004.1</v>
      </c>
      <c r="G125" s="31">
        <v>2063.6999999999998</v>
      </c>
    </row>
    <row r="126" spans="1:7" ht="30" x14ac:dyDescent="0.25">
      <c r="A126" s="1" t="s">
        <v>21</v>
      </c>
      <c r="B126" s="17" t="s">
        <v>304</v>
      </c>
      <c r="C126" s="29" t="s">
        <v>317</v>
      </c>
      <c r="D126" s="19">
        <v>200</v>
      </c>
      <c r="E126" s="20">
        <v>217.8</v>
      </c>
      <c r="F126" s="130">
        <v>0</v>
      </c>
      <c r="G126" s="130">
        <v>0</v>
      </c>
    </row>
    <row r="127" spans="1:7" ht="30" x14ac:dyDescent="0.25">
      <c r="A127" s="23" t="s">
        <v>318</v>
      </c>
      <c r="B127" s="17" t="s">
        <v>304</v>
      </c>
      <c r="C127" s="18" t="s">
        <v>319</v>
      </c>
      <c r="D127" s="19"/>
      <c r="E127" s="20">
        <f t="shared" ref="E127:G128" si="18">SUM(E128)</f>
        <v>2365.6999999999998</v>
      </c>
      <c r="F127" s="20">
        <f t="shared" si="18"/>
        <v>3468.8</v>
      </c>
      <c r="G127" s="20">
        <f t="shared" si="18"/>
        <v>3500.5000000000005</v>
      </c>
    </row>
    <row r="128" spans="1:7" ht="30" x14ac:dyDescent="0.25">
      <c r="A128" s="23" t="s">
        <v>320</v>
      </c>
      <c r="B128" s="17" t="s">
        <v>304</v>
      </c>
      <c r="C128" s="18" t="s">
        <v>321</v>
      </c>
      <c r="D128" s="19"/>
      <c r="E128" s="20">
        <f t="shared" si="18"/>
        <v>2365.6999999999998</v>
      </c>
      <c r="F128" s="20">
        <f t="shared" si="18"/>
        <v>3468.8</v>
      </c>
      <c r="G128" s="20">
        <f t="shared" si="18"/>
        <v>3500.5000000000005</v>
      </c>
    </row>
    <row r="129" spans="1:7" x14ac:dyDescent="0.25">
      <c r="A129" s="23" t="s">
        <v>322</v>
      </c>
      <c r="B129" s="17" t="s">
        <v>304</v>
      </c>
      <c r="C129" s="18" t="s">
        <v>323</v>
      </c>
      <c r="D129" s="19"/>
      <c r="E129" s="20">
        <f>SUM(E130:E131)</f>
        <v>2365.6999999999998</v>
      </c>
      <c r="F129" s="20">
        <f>SUM(F130:F131)</f>
        <v>3468.8</v>
      </c>
      <c r="G129" s="20">
        <f>SUM(G130:G131)</f>
        <v>3500.5000000000005</v>
      </c>
    </row>
    <row r="130" spans="1:7" ht="60" x14ac:dyDescent="0.25">
      <c r="A130" s="1" t="s">
        <v>14</v>
      </c>
      <c r="B130" s="17" t="s">
        <v>304</v>
      </c>
      <c r="C130" s="18" t="s">
        <v>323</v>
      </c>
      <c r="D130" s="19">
        <v>100</v>
      </c>
      <c r="E130" s="31">
        <v>1218.7</v>
      </c>
      <c r="F130" s="31">
        <v>1230.9000000000001</v>
      </c>
      <c r="G130" s="31">
        <v>1267.4000000000001</v>
      </c>
    </row>
    <row r="131" spans="1:7" ht="30" x14ac:dyDescent="0.25">
      <c r="A131" s="1" t="s">
        <v>21</v>
      </c>
      <c r="B131" s="17" t="s">
        <v>304</v>
      </c>
      <c r="C131" s="18" t="s">
        <v>323</v>
      </c>
      <c r="D131" s="19">
        <v>200</v>
      </c>
      <c r="E131" s="31">
        <v>1147</v>
      </c>
      <c r="F131" s="31">
        <v>2237.9</v>
      </c>
      <c r="G131" s="31">
        <v>2233.1000000000004</v>
      </c>
    </row>
    <row r="132" spans="1:7" ht="45" x14ac:dyDescent="0.25">
      <c r="A132" s="1" t="s">
        <v>324</v>
      </c>
      <c r="B132" s="17" t="s">
        <v>304</v>
      </c>
      <c r="C132" s="18" t="s">
        <v>325</v>
      </c>
      <c r="D132" s="19"/>
      <c r="E132" s="20">
        <f t="shared" ref="E132:G133" si="19">SUM(E133)</f>
        <v>53562.799999999996</v>
      </c>
      <c r="F132" s="20">
        <f t="shared" si="19"/>
        <v>50202.1</v>
      </c>
      <c r="G132" s="20">
        <f t="shared" si="19"/>
        <v>51589.1</v>
      </c>
    </row>
    <row r="133" spans="1:7" ht="45" x14ac:dyDescent="0.25">
      <c r="A133" s="1" t="s">
        <v>326</v>
      </c>
      <c r="B133" s="17" t="s">
        <v>304</v>
      </c>
      <c r="C133" s="18" t="s">
        <v>327</v>
      </c>
      <c r="D133" s="19"/>
      <c r="E133" s="20">
        <f t="shared" si="19"/>
        <v>53562.799999999996</v>
      </c>
      <c r="F133" s="20">
        <f t="shared" si="19"/>
        <v>50202.1</v>
      </c>
      <c r="G133" s="20">
        <f t="shared" si="19"/>
        <v>51589.1</v>
      </c>
    </row>
    <row r="134" spans="1:7" ht="30" x14ac:dyDescent="0.25">
      <c r="A134" s="22" t="s">
        <v>54</v>
      </c>
      <c r="B134" s="17" t="s">
        <v>304</v>
      </c>
      <c r="C134" s="40" t="s">
        <v>328</v>
      </c>
      <c r="D134" s="19"/>
      <c r="E134" s="20">
        <f>SUM(E135:E137)</f>
        <v>53562.799999999996</v>
      </c>
      <c r="F134" s="20">
        <f>SUM(F135:F137)</f>
        <v>50202.1</v>
      </c>
      <c r="G134" s="20">
        <f>SUM(G135:G137)</f>
        <v>51589.1</v>
      </c>
    </row>
    <row r="135" spans="1:7" ht="60" x14ac:dyDescent="0.25">
      <c r="A135" s="1" t="s">
        <v>14</v>
      </c>
      <c r="B135" s="17" t="s">
        <v>304</v>
      </c>
      <c r="C135" s="40" t="s">
        <v>329</v>
      </c>
      <c r="D135" s="19">
        <v>100</v>
      </c>
      <c r="E135" s="31">
        <f>44989.9-116.3</f>
        <v>44873.599999999999</v>
      </c>
      <c r="F135" s="31">
        <v>45436.9</v>
      </c>
      <c r="G135" s="31">
        <v>46777.9</v>
      </c>
    </row>
    <row r="136" spans="1:7" ht="30" x14ac:dyDescent="0.25">
      <c r="A136" s="1" t="s">
        <v>21</v>
      </c>
      <c r="B136" s="17" t="s">
        <v>304</v>
      </c>
      <c r="C136" s="40" t="s">
        <v>328</v>
      </c>
      <c r="D136" s="19">
        <v>200</v>
      </c>
      <c r="E136" s="31">
        <f>2581.2+116.3+4920.6</f>
        <v>7618.1</v>
      </c>
      <c r="F136" s="31">
        <v>4162.5</v>
      </c>
      <c r="G136" s="31">
        <v>4208.5</v>
      </c>
    </row>
    <row r="137" spans="1:7" x14ac:dyDescent="0.25">
      <c r="A137" s="22" t="s">
        <v>22</v>
      </c>
      <c r="B137" s="17" t="s">
        <v>304</v>
      </c>
      <c r="C137" s="40" t="s">
        <v>328</v>
      </c>
      <c r="D137" s="19">
        <v>800</v>
      </c>
      <c r="E137" s="31">
        <f>602.7+468.4</f>
        <v>1071.0999999999999</v>
      </c>
      <c r="F137" s="31">
        <v>602.70000000000005</v>
      </c>
      <c r="G137" s="31">
        <v>602.70000000000005</v>
      </c>
    </row>
    <row r="138" spans="1:7" x14ac:dyDescent="0.25">
      <c r="A138" s="41" t="s">
        <v>75</v>
      </c>
      <c r="B138" s="42" t="s">
        <v>76</v>
      </c>
      <c r="C138" s="42"/>
      <c r="D138" s="43"/>
      <c r="E138" s="14">
        <f>E139+E147+E155+E198+E171</f>
        <v>727455.2</v>
      </c>
      <c r="F138" s="14">
        <f>F139+F147+F155+F198+F171</f>
        <v>433655.30000000005</v>
      </c>
      <c r="G138" s="14">
        <f>G139+G147+G155+G198+G171</f>
        <v>429845.1</v>
      </c>
    </row>
    <row r="139" spans="1:7" x14ac:dyDescent="0.25">
      <c r="A139" s="44" t="s">
        <v>254</v>
      </c>
      <c r="B139" s="42" t="s">
        <v>255</v>
      </c>
      <c r="C139" s="42"/>
      <c r="D139" s="43"/>
      <c r="E139" s="14">
        <f t="shared" ref="E139:G140" si="20">SUM(E140)</f>
        <v>1596.6</v>
      </c>
      <c r="F139" s="14">
        <f t="shared" si="20"/>
        <v>1596.6</v>
      </c>
      <c r="G139" s="14">
        <f t="shared" si="20"/>
        <v>1596.6</v>
      </c>
    </row>
    <row r="140" spans="1:7" ht="45" x14ac:dyDescent="0.25">
      <c r="A140" s="1" t="s">
        <v>79</v>
      </c>
      <c r="B140" s="34" t="s">
        <v>255</v>
      </c>
      <c r="C140" s="18" t="s">
        <v>80</v>
      </c>
      <c r="D140" s="35"/>
      <c r="E140" s="20">
        <f t="shared" si="20"/>
        <v>1596.6</v>
      </c>
      <c r="F140" s="20">
        <f t="shared" si="20"/>
        <v>1596.6</v>
      </c>
      <c r="G140" s="20">
        <f t="shared" si="20"/>
        <v>1596.6</v>
      </c>
    </row>
    <row r="141" spans="1:7" ht="30" x14ac:dyDescent="0.25">
      <c r="A141" s="1" t="s">
        <v>81</v>
      </c>
      <c r="B141" s="34" t="s">
        <v>255</v>
      </c>
      <c r="C141" s="18" t="s">
        <v>82</v>
      </c>
      <c r="D141" s="35"/>
      <c r="E141" s="20">
        <f>E142</f>
        <v>1596.6</v>
      </c>
      <c r="F141" s="20">
        <f>F142</f>
        <v>1596.6</v>
      </c>
      <c r="G141" s="20">
        <f>G142</f>
        <v>1596.6</v>
      </c>
    </row>
    <row r="142" spans="1:7" ht="30" x14ac:dyDescent="0.25">
      <c r="A142" s="33" t="s">
        <v>83</v>
      </c>
      <c r="B142" s="34" t="s">
        <v>255</v>
      </c>
      <c r="C142" s="18" t="s">
        <v>84</v>
      </c>
      <c r="D142" s="35"/>
      <c r="E142" s="20">
        <f>E143+E145</f>
        <v>1596.6</v>
      </c>
      <c r="F142" s="20">
        <f>F143+F145</f>
        <v>1596.6</v>
      </c>
      <c r="G142" s="20">
        <f>G143+G145</f>
        <v>1596.6</v>
      </c>
    </row>
    <row r="143" spans="1:7" ht="45" x14ac:dyDescent="0.25">
      <c r="A143" s="1" t="s">
        <v>256</v>
      </c>
      <c r="B143" s="34" t="s">
        <v>255</v>
      </c>
      <c r="C143" s="18" t="s">
        <v>257</v>
      </c>
      <c r="D143" s="35"/>
      <c r="E143" s="20">
        <f>SUM(E144)</f>
        <v>500</v>
      </c>
      <c r="F143" s="20">
        <f>SUM(F144)</f>
        <v>500</v>
      </c>
      <c r="G143" s="20">
        <f>SUM(G144)</f>
        <v>500</v>
      </c>
    </row>
    <row r="144" spans="1:7" ht="30" x14ac:dyDescent="0.25">
      <c r="A144" s="1" t="s">
        <v>21</v>
      </c>
      <c r="B144" s="34" t="s">
        <v>255</v>
      </c>
      <c r="C144" s="18" t="s">
        <v>257</v>
      </c>
      <c r="D144" s="35">
        <v>200</v>
      </c>
      <c r="E144" s="31">
        <f>276.1+223.9</f>
        <v>500</v>
      </c>
      <c r="F144" s="31">
        <v>500</v>
      </c>
      <c r="G144" s="31">
        <v>500</v>
      </c>
    </row>
    <row r="145" spans="1:7" ht="180" x14ac:dyDescent="0.25">
      <c r="A145" s="38" t="s">
        <v>258</v>
      </c>
      <c r="B145" s="34" t="s">
        <v>255</v>
      </c>
      <c r="C145" s="18" t="s">
        <v>259</v>
      </c>
      <c r="D145" s="35"/>
      <c r="E145" s="20">
        <f>E146</f>
        <v>1096.5999999999999</v>
      </c>
      <c r="F145" s="20">
        <f>F146</f>
        <v>1096.5999999999999</v>
      </c>
      <c r="G145" s="20">
        <f>G146</f>
        <v>1096.5999999999999</v>
      </c>
    </row>
    <row r="146" spans="1:7" ht="30" x14ac:dyDescent="0.25">
      <c r="A146" s="1" t="s">
        <v>21</v>
      </c>
      <c r="B146" s="34" t="s">
        <v>255</v>
      </c>
      <c r="C146" s="18" t="s">
        <v>259</v>
      </c>
      <c r="D146" s="35">
        <v>200</v>
      </c>
      <c r="E146" s="31">
        <v>1096.5999999999999</v>
      </c>
      <c r="F146" s="31">
        <v>1096.5999999999999</v>
      </c>
      <c r="G146" s="31">
        <v>1096.5999999999999</v>
      </c>
    </row>
    <row r="147" spans="1:7" x14ac:dyDescent="0.25">
      <c r="A147" s="41" t="s">
        <v>77</v>
      </c>
      <c r="B147" s="42" t="s">
        <v>78</v>
      </c>
      <c r="C147" s="42"/>
      <c r="D147" s="43"/>
      <c r="E147" s="14">
        <f t="shared" ref="E147:G149" si="21">SUM(E148)</f>
        <v>6525</v>
      </c>
      <c r="F147" s="14">
        <f t="shared" si="21"/>
        <v>3532</v>
      </c>
      <c r="G147" s="14">
        <f t="shared" si="21"/>
        <v>0</v>
      </c>
    </row>
    <row r="148" spans="1:7" ht="45" x14ac:dyDescent="0.25">
      <c r="A148" s="33" t="s">
        <v>79</v>
      </c>
      <c r="B148" s="34" t="s">
        <v>78</v>
      </c>
      <c r="C148" s="37" t="s">
        <v>80</v>
      </c>
      <c r="D148" s="35"/>
      <c r="E148" s="20">
        <f t="shared" si="21"/>
        <v>6525</v>
      </c>
      <c r="F148" s="20">
        <f t="shared" si="21"/>
        <v>3532</v>
      </c>
      <c r="G148" s="20">
        <f t="shared" si="21"/>
        <v>0</v>
      </c>
    </row>
    <row r="149" spans="1:7" ht="30" x14ac:dyDescent="0.25">
      <c r="A149" s="33" t="s">
        <v>81</v>
      </c>
      <c r="B149" s="34" t="s">
        <v>78</v>
      </c>
      <c r="C149" s="37" t="s">
        <v>82</v>
      </c>
      <c r="D149" s="35"/>
      <c r="E149" s="20">
        <f t="shared" si="21"/>
        <v>6525</v>
      </c>
      <c r="F149" s="20">
        <f t="shared" si="21"/>
        <v>3532</v>
      </c>
      <c r="G149" s="20">
        <f t="shared" si="21"/>
        <v>0</v>
      </c>
    </row>
    <row r="150" spans="1:7" ht="30" x14ac:dyDescent="0.25">
      <c r="A150" s="33" t="s">
        <v>83</v>
      </c>
      <c r="B150" s="34" t="s">
        <v>78</v>
      </c>
      <c r="C150" s="37" t="s">
        <v>84</v>
      </c>
      <c r="D150" s="35"/>
      <c r="E150" s="20">
        <f>SUM(E153)+E151</f>
        <v>6525</v>
      </c>
      <c r="F150" s="20">
        <f>SUM(F153)+F151</f>
        <v>3532</v>
      </c>
      <c r="G150" s="20">
        <f>SUM(G153)+G151</f>
        <v>0</v>
      </c>
    </row>
    <row r="151" spans="1:7" ht="30" x14ac:dyDescent="0.25">
      <c r="A151" s="105" t="s">
        <v>500</v>
      </c>
      <c r="B151" s="37" t="s">
        <v>78</v>
      </c>
      <c r="C151" s="37" t="s">
        <v>474</v>
      </c>
      <c r="D151" s="45"/>
      <c r="E151" s="20">
        <f>E152</f>
        <v>3532</v>
      </c>
      <c r="F151" s="20">
        <f>F152</f>
        <v>3532</v>
      </c>
      <c r="G151" s="20">
        <f>G152</f>
        <v>0</v>
      </c>
    </row>
    <row r="152" spans="1:7" ht="30" x14ac:dyDescent="0.25">
      <c r="A152" s="1" t="s">
        <v>21</v>
      </c>
      <c r="B152" s="37" t="s">
        <v>78</v>
      </c>
      <c r="C152" s="37" t="s">
        <v>474</v>
      </c>
      <c r="D152" s="45">
        <v>200</v>
      </c>
      <c r="E152" s="31">
        <v>3532</v>
      </c>
      <c r="F152" s="31">
        <v>3532</v>
      </c>
      <c r="G152" s="31">
        <v>0</v>
      </c>
    </row>
    <row r="153" spans="1:7" ht="30" x14ac:dyDescent="0.25">
      <c r="A153" s="46" t="s">
        <v>85</v>
      </c>
      <c r="B153" s="34" t="s">
        <v>78</v>
      </c>
      <c r="C153" s="37" t="s">
        <v>86</v>
      </c>
      <c r="D153" s="35"/>
      <c r="E153" s="20">
        <f>SUM(E154)</f>
        <v>2993</v>
      </c>
      <c r="F153" s="20">
        <f>SUM(F154)</f>
        <v>0</v>
      </c>
      <c r="G153" s="20">
        <f>SUM(G154)</f>
        <v>0</v>
      </c>
    </row>
    <row r="154" spans="1:7" ht="30" x14ac:dyDescent="0.25">
      <c r="A154" s="38" t="s">
        <v>87</v>
      </c>
      <c r="B154" s="34" t="s">
        <v>78</v>
      </c>
      <c r="C154" s="37" t="s">
        <v>86</v>
      </c>
      <c r="D154" s="35">
        <v>400</v>
      </c>
      <c r="E154" s="31">
        <v>2993</v>
      </c>
      <c r="F154" s="20">
        <v>0</v>
      </c>
      <c r="G154" s="20">
        <v>0</v>
      </c>
    </row>
    <row r="155" spans="1:7" x14ac:dyDescent="0.25">
      <c r="A155" s="41" t="s">
        <v>88</v>
      </c>
      <c r="B155" s="42" t="s">
        <v>89</v>
      </c>
      <c r="C155" s="42"/>
      <c r="D155" s="43"/>
      <c r="E155" s="14">
        <f>SUM(E156)</f>
        <v>44432.399999999994</v>
      </c>
      <c r="F155" s="14">
        <f>SUM(F156)</f>
        <v>51578.600000000006</v>
      </c>
      <c r="G155" s="14">
        <f>SUM(G156)</f>
        <v>51704.7</v>
      </c>
    </row>
    <row r="156" spans="1:7" ht="30" x14ac:dyDescent="0.25">
      <c r="A156" s="33" t="s">
        <v>90</v>
      </c>
      <c r="B156" s="34" t="s">
        <v>89</v>
      </c>
      <c r="C156" s="37" t="s">
        <v>91</v>
      </c>
      <c r="D156" s="45"/>
      <c r="E156" s="20">
        <f>SUM(E161)+E157</f>
        <v>44432.399999999994</v>
      </c>
      <c r="F156" s="20">
        <f>SUM(F161)+F157</f>
        <v>51578.600000000006</v>
      </c>
      <c r="G156" s="20">
        <f>SUM(G161)+G157</f>
        <v>51704.7</v>
      </c>
    </row>
    <row r="157" spans="1:7" ht="30" hidden="1" x14ac:dyDescent="0.25">
      <c r="A157" s="33" t="s">
        <v>104</v>
      </c>
      <c r="B157" s="34" t="s">
        <v>89</v>
      </c>
      <c r="C157" s="37" t="s">
        <v>105</v>
      </c>
      <c r="D157" s="45"/>
      <c r="E157" s="20">
        <f>E158</f>
        <v>0</v>
      </c>
      <c r="F157" s="20">
        <f t="shared" ref="F157:G159" si="22">F158</f>
        <v>0</v>
      </c>
      <c r="G157" s="20">
        <f t="shared" si="22"/>
        <v>0</v>
      </c>
    </row>
    <row r="158" spans="1:7" ht="30" hidden="1" x14ac:dyDescent="0.25">
      <c r="A158" s="38" t="s">
        <v>106</v>
      </c>
      <c r="B158" s="34" t="s">
        <v>89</v>
      </c>
      <c r="C158" s="37" t="s">
        <v>107</v>
      </c>
      <c r="D158" s="45"/>
      <c r="E158" s="20">
        <f>E159</f>
        <v>0</v>
      </c>
      <c r="F158" s="20">
        <f t="shared" si="22"/>
        <v>0</v>
      </c>
      <c r="G158" s="20">
        <f t="shared" si="22"/>
        <v>0</v>
      </c>
    </row>
    <row r="159" spans="1:7" ht="60" hidden="1" x14ac:dyDescent="0.25">
      <c r="A159" s="1" t="s">
        <v>496</v>
      </c>
      <c r="B159" s="34" t="s">
        <v>89</v>
      </c>
      <c r="C159" s="18" t="s">
        <v>497</v>
      </c>
      <c r="D159" s="45"/>
      <c r="E159" s="20">
        <f>E160</f>
        <v>0</v>
      </c>
      <c r="F159" s="20">
        <f t="shared" si="22"/>
        <v>0</v>
      </c>
      <c r="G159" s="20">
        <f t="shared" si="22"/>
        <v>0</v>
      </c>
    </row>
    <row r="160" spans="1:7" hidden="1" x14ac:dyDescent="0.25">
      <c r="A160" s="38" t="s">
        <v>22</v>
      </c>
      <c r="B160" s="34" t="s">
        <v>89</v>
      </c>
      <c r="C160" s="18" t="s">
        <v>497</v>
      </c>
      <c r="D160" s="45">
        <v>800</v>
      </c>
      <c r="E160" s="20"/>
    </row>
    <row r="161" spans="1:7" ht="30" x14ac:dyDescent="0.25">
      <c r="A161" s="33" t="s">
        <v>92</v>
      </c>
      <c r="B161" s="34" t="s">
        <v>89</v>
      </c>
      <c r="C161" s="37" t="s">
        <v>93</v>
      </c>
      <c r="D161" s="45"/>
      <c r="E161" s="20">
        <f>SUM(E162)</f>
        <v>44432.399999999994</v>
      </c>
      <c r="F161" s="20">
        <f>SUM(F162)</f>
        <v>51578.600000000006</v>
      </c>
      <c r="G161" s="20">
        <f>SUM(G162)</f>
        <v>51704.7</v>
      </c>
    </row>
    <row r="162" spans="1:7" ht="45" x14ac:dyDescent="0.25">
      <c r="A162" s="33" t="s">
        <v>94</v>
      </c>
      <c r="B162" s="34" t="s">
        <v>89</v>
      </c>
      <c r="C162" s="37" t="s">
        <v>95</v>
      </c>
      <c r="D162" s="45"/>
      <c r="E162" s="20">
        <f>SUM(E163+E165+E167+E169)</f>
        <v>44432.399999999994</v>
      </c>
      <c r="F162" s="20">
        <f t="shared" ref="F162:G162" si="23">SUM(F163+F165+F167+F169)</f>
        <v>51578.600000000006</v>
      </c>
      <c r="G162" s="20">
        <f t="shared" si="23"/>
        <v>51704.7</v>
      </c>
    </row>
    <row r="163" spans="1:7" ht="30" x14ac:dyDescent="0.25">
      <c r="A163" s="38" t="s">
        <v>64</v>
      </c>
      <c r="B163" s="34" t="s">
        <v>89</v>
      </c>
      <c r="C163" s="37" t="s">
        <v>96</v>
      </c>
      <c r="D163" s="45"/>
      <c r="E163" s="20">
        <f>SUM(E164)</f>
        <v>4395.5</v>
      </c>
      <c r="F163" s="20">
        <f>SUM(F164)</f>
        <v>5327.2999999999993</v>
      </c>
      <c r="G163" s="20">
        <f>SUM(G164)</f>
        <v>5453.4</v>
      </c>
    </row>
    <row r="164" spans="1:7" ht="30" x14ac:dyDescent="0.25">
      <c r="A164" s="38" t="s">
        <v>66</v>
      </c>
      <c r="B164" s="34" t="s">
        <v>89</v>
      </c>
      <c r="C164" s="37" t="s">
        <v>96</v>
      </c>
      <c r="D164" s="45">
        <v>600</v>
      </c>
      <c r="E164" s="31">
        <f>4056.9+158.6+180</f>
        <v>4395.5</v>
      </c>
      <c r="F164" s="31">
        <f>4277.7+1049.6</f>
        <v>5327.2999999999993</v>
      </c>
      <c r="G164" s="31">
        <f>4403.8+1049.6</f>
        <v>5453.4</v>
      </c>
    </row>
    <row r="165" spans="1:7" ht="45" x14ac:dyDescent="0.25">
      <c r="A165" s="33" t="s">
        <v>97</v>
      </c>
      <c r="B165" s="34" t="s">
        <v>89</v>
      </c>
      <c r="C165" s="34" t="s">
        <v>98</v>
      </c>
      <c r="D165" s="35"/>
      <c r="E165" s="20">
        <f>SUM(E166)</f>
        <v>31602.1</v>
      </c>
      <c r="F165" s="20">
        <f>SUM(F166)</f>
        <v>36507.300000000003</v>
      </c>
      <c r="G165" s="20">
        <f>SUM(G166)</f>
        <v>36507.300000000003</v>
      </c>
    </row>
    <row r="166" spans="1:7" x14ac:dyDescent="0.25">
      <c r="A166" s="38" t="s">
        <v>22</v>
      </c>
      <c r="B166" s="34" t="s">
        <v>89</v>
      </c>
      <c r="C166" s="34" t="s">
        <v>98</v>
      </c>
      <c r="D166" s="35">
        <v>800</v>
      </c>
      <c r="E166" s="31">
        <v>31602.1</v>
      </c>
      <c r="F166" s="31">
        <v>36507.300000000003</v>
      </c>
      <c r="G166" s="31">
        <v>36507.300000000003</v>
      </c>
    </row>
    <row r="167" spans="1:7" ht="90" x14ac:dyDescent="0.25">
      <c r="A167" s="105" t="s">
        <v>513</v>
      </c>
      <c r="B167" s="34" t="s">
        <v>89</v>
      </c>
      <c r="C167" s="34" t="s">
        <v>99</v>
      </c>
      <c r="D167" s="35"/>
      <c r="E167" s="20">
        <f>SUM(E168)</f>
        <v>7410.6</v>
      </c>
      <c r="F167" s="20">
        <f>SUM(F168)</f>
        <v>8560.7999999999993</v>
      </c>
      <c r="G167" s="20">
        <f>SUM(G168)</f>
        <v>8560.7999999999993</v>
      </c>
    </row>
    <row r="168" spans="1:7" x14ac:dyDescent="0.25">
      <c r="A168" s="38" t="s">
        <v>22</v>
      </c>
      <c r="B168" s="34" t="s">
        <v>89</v>
      </c>
      <c r="C168" s="34" t="s">
        <v>99</v>
      </c>
      <c r="D168" s="35">
        <v>800</v>
      </c>
      <c r="E168" s="31">
        <v>7410.6</v>
      </c>
      <c r="F168" s="31">
        <v>8560.7999999999993</v>
      </c>
      <c r="G168" s="31">
        <v>8560.7999999999993</v>
      </c>
    </row>
    <row r="169" spans="1:7" ht="75" x14ac:dyDescent="0.25">
      <c r="A169" s="47" t="s">
        <v>100</v>
      </c>
      <c r="B169" s="34" t="s">
        <v>89</v>
      </c>
      <c r="C169" s="34" t="s">
        <v>101</v>
      </c>
      <c r="D169" s="35"/>
      <c r="E169" s="20">
        <f>SUM(E170)</f>
        <v>1024.2</v>
      </c>
      <c r="F169" s="20">
        <f>SUM(F170)</f>
        <v>1183.2</v>
      </c>
      <c r="G169" s="20">
        <f>SUM(G170)</f>
        <v>1183.2</v>
      </c>
    </row>
    <row r="170" spans="1:7" x14ac:dyDescent="0.25">
      <c r="A170" s="38" t="s">
        <v>22</v>
      </c>
      <c r="B170" s="34" t="s">
        <v>89</v>
      </c>
      <c r="C170" s="34" t="s">
        <v>101</v>
      </c>
      <c r="D170" s="35">
        <v>800</v>
      </c>
      <c r="E170" s="31">
        <v>1024.2</v>
      </c>
      <c r="F170" s="31">
        <v>1183.2</v>
      </c>
      <c r="G170" s="31">
        <v>1183.2</v>
      </c>
    </row>
    <row r="171" spans="1:7" x14ac:dyDescent="0.25">
      <c r="A171" s="41" t="s">
        <v>102</v>
      </c>
      <c r="B171" s="42" t="s">
        <v>103</v>
      </c>
      <c r="C171" s="42"/>
      <c r="D171" s="43"/>
      <c r="E171" s="14">
        <f>SUM(E172)</f>
        <v>646961.9</v>
      </c>
      <c r="F171" s="14">
        <f t="shared" ref="F171:G171" si="24">SUM(F172)</f>
        <v>347611.7</v>
      </c>
      <c r="G171" s="14">
        <f t="shared" si="24"/>
        <v>349161.7</v>
      </c>
    </row>
    <row r="172" spans="1:7" ht="30" x14ac:dyDescent="0.25">
      <c r="A172" s="33" t="s">
        <v>90</v>
      </c>
      <c r="B172" s="34" t="s">
        <v>103</v>
      </c>
      <c r="C172" s="37" t="s">
        <v>91</v>
      </c>
      <c r="D172" s="35"/>
      <c r="E172" s="20">
        <f t="shared" ref="E172:G173" si="25">SUM(E173)</f>
        <v>646961.9</v>
      </c>
      <c r="F172" s="20">
        <f t="shared" si="25"/>
        <v>347611.7</v>
      </c>
      <c r="G172" s="20">
        <f t="shared" si="25"/>
        <v>349161.7</v>
      </c>
    </row>
    <row r="173" spans="1:7" ht="30" x14ac:dyDescent="0.25">
      <c r="A173" s="33" t="s">
        <v>104</v>
      </c>
      <c r="B173" s="34" t="s">
        <v>103</v>
      </c>
      <c r="C173" s="37" t="s">
        <v>105</v>
      </c>
      <c r="D173" s="35"/>
      <c r="E173" s="20">
        <f t="shared" si="25"/>
        <v>646961.9</v>
      </c>
      <c r="F173" s="20">
        <f t="shared" si="25"/>
        <v>347611.7</v>
      </c>
      <c r="G173" s="20">
        <f t="shared" si="25"/>
        <v>349161.7</v>
      </c>
    </row>
    <row r="174" spans="1:7" ht="30" x14ac:dyDescent="0.25">
      <c r="A174" s="38" t="s">
        <v>106</v>
      </c>
      <c r="B174" s="34" t="s">
        <v>103</v>
      </c>
      <c r="C174" s="37" t="s">
        <v>107</v>
      </c>
      <c r="D174" s="35"/>
      <c r="E174" s="20">
        <f>E175+E178+E182+E184+E186+E190+E194+E196+E188+E192+E180</f>
        <v>646961.9</v>
      </c>
      <c r="F174" s="20">
        <f t="shared" ref="F174:G174" si="26">F175+F178+F182+F184+F186+F190+F194+F196+F188+F192+F180</f>
        <v>347611.7</v>
      </c>
      <c r="G174" s="20">
        <f t="shared" si="26"/>
        <v>349161.7</v>
      </c>
    </row>
    <row r="175" spans="1:7" ht="60" x14ac:dyDescent="0.25">
      <c r="A175" s="38" t="s">
        <v>493</v>
      </c>
      <c r="B175" s="37" t="s">
        <v>103</v>
      </c>
      <c r="C175" s="37" t="s">
        <v>481</v>
      </c>
      <c r="D175" s="35"/>
      <c r="E175" s="20">
        <f>E176+E177</f>
        <v>331114.5</v>
      </c>
      <c r="F175" s="20">
        <f>F176+F177</f>
        <v>46974.7</v>
      </c>
      <c r="G175" s="20">
        <f>G176+G177</f>
        <v>25284.2</v>
      </c>
    </row>
    <row r="176" spans="1:7" ht="30" x14ac:dyDescent="0.25">
      <c r="A176" s="1" t="s">
        <v>21</v>
      </c>
      <c r="B176" s="37" t="s">
        <v>103</v>
      </c>
      <c r="C176" s="37" t="s">
        <v>481</v>
      </c>
      <c r="D176" s="45">
        <v>200</v>
      </c>
      <c r="E176" s="31">
        <f>17628.3-12364.1+268686.7+18815.3+2558.8</f>
        <v>295325</v>
      </c>
      <c r="F176" s="31">
        <v>18764.2</v>
      </c>
      <c r="G176" s="31">
        <v>22365.4</v>
      </c>
    </row>
    <row r="177" spans="1:7" ht="30" x14ac:dyDescent="0.25">
      <c r="A177" s="38" t="s">
        <v>87</v>
      </c>
      <c r="B177" s="37" t="s">
        <v>103</v>
      </c>
      <c r="C177" s="37" t="s">
        <v>481</v>
      </c>
      <c r="D177" s="45">
        <v>400</v>
      </c>
      <c r="E177" s="31">
        <f>6520+4771.5+45872.1-21374.1</f>
        <v>35789.5</v>
      </c>
      <c r="F177" s="31">
        <f>6520+21690.5</f>
        <v>28210.5</v>
      </c>
      <c r="G177" s="31">
        <v>2918.8</v>
      </c>
    </row>
    <row r="178" spans="1:7" ht="45.6" customHeight="1" x14ac:dyDescent="0.25">
      <c r="A178" s="116" t="s">
        <v>522</v>
      </c>
      <c r="B178" s="34" t="s">
        <v>103</v>
      </c>
      <c r="C178" s="34" t="s">
        <v>502</v>
      </c>
      <c r="D178" s="35"/>
      <c r="E178" s="20">
        <f>SUM(E179)</f>
        <v>0</v>
      </c>
      <c r="F178" s="20">
        <f>SUM(F179)</f>
        <v>0</v>
      </c>
      <c r="G178" s="20">
        <f>SUM(G179)</f>
        <v>10000</v>
      </c>
    </row>
    <row r="179" spans="1:7" ht="30" x14ac:dyDescent="0.25">
      <c r="A179" s="36" t="s">
        <v>87</v>
      </c>
      <c r="B179" s="34" t="s">
        <v>103</v>
      </c>
      <c r="C179" s="34" t="s">
        <v>502</v>
      </c>
      <c r="D179" s="35">
        <v>400</v>
      </c>
      <c r="E179" s="20">
        <f>2500-615-1885</f>
        <v>0</v>
      </c>
      <c r="F179" s="20">
        <v>0</v>
      </c>
      <c r="G179" s="31">
        <v>10000</v>
      </c>
    </row>
    <row r="180" spans="1:7" ht="45" x14ac:dyDescent="0.25">
      <c r="A180" s="36" t="s">
        <v>557</v>
      </c>
      <c r="B180" s="34" t="s">
        <v>103</v>
      </c>
      <c r="C180" s="34" t="s">
        <v>558</v>
      </c>
      <c r="D180" s="35"/>
      <c r="E180" s="20">
        <f>E181</f>
        <v>1400</v>
      </c>
      <c r="F180" s="20">
        <f t="shared" ref="F180:G180" si="27">F181</f>
        <v>0</v>
      </c>
      <c r="G180" s="20">
        <f t="shared" si="27"/>
        <v>0</v>
      </c>
    </row>
    <row r="181" spans="1:7" ht="30" x14ac:dyDescent="0.25">
      <c r="A181" s="36" t="s">
        <v>87</v>
      </c>
      <c r="B181" s="34" t="s">
        <v>103</v>
      </c>
      <c r="C181" s="34" t="s">
        <v>558</v>
      </c>
      <c r="D181" s="35">
        <v>400</v>
      </c>
      <c r="E181" s="20">
        <v>1400</v>
      </c>
      <c r="F181" s="20">
        <v>0</v>
      </c>
      <c r="G181" s="31">
        <v>0</v>
      </c>
    </row>
    <row r="182" spans="1:7" ht="30" x14ac:dyDescent="0.25">
      <c r="A182" s="105" t="s">
        <v>562</v>
      </c>
      <c r="B182" s="101" t="s">
        <v>103</v>
      </c>
      <c r="C182" s="101" t="s">
        <v>503</v>
      </c>
      <c r="D182" s="102"/>
      <c r="E182" s="31">
        <f>SUM(E183)</f>
        <v>50</v>
      </c>
      <c r="F182" s="31">
        <f>SUM(F183)</f>
        <v>50</v>
      </c>
      <c r="G182" s="31">
        <f>SUM(G183)</f>
        <v>0</v>
      </c>
    </row>
    <row r="183" spans="1:7" ht="30" x14ac:dyDescent="0.25">
      <c r="A183" s="104" t="s">
        <v>21</v>
      </c>
      <c r="B183" s="101" t="s">
        <v>103</v>
      </c>
      <c r="C183" s="101" t="s">
        <v>503</v>
      </c>
      <c r="D183" s="102">
        <v>200</v>
      </c>
      <c r="E183" s="31">
        <v>50</v>
      </c>
      <c r="F183" s="31">
        <v>50</v>
      </c>
      <c r="G183" s="31">
        <v>0</v>
      </c>
    </row>
    <row r="184" spans="1:7" ht="45" x14ac:dyDescent="0.25">
      <c r="A184" s="104" t="s">
        <v>523</v>
      </c>
      <c r="B184" s="101" t="s">
        <v>103</v>
      </c>
      <c r="C184" s="101" t="s">
        <v>504</v>
      </c>
      <c r="D184" s="102"/>
      <c r="E184" s="31">
        <f>SUM(E185)</f>
        <v>3928.5</v>
      </c>
      <c r="F184" s="31">
        <f>SUM(F185)</f>
        <v>7246.5</v>
      </c>
      <c r="G184" s="31">
        <f>SUM(G185)</f>
        <v>2475</v>
      </c>
    </row>
    <row r="185" spans="1:7" ht="30" x14ac:dyDescent="0.25">
      <c r="A185" s="36" t="s">
        <v>87</v>
      </c>
      <c r="B185" s="101" t="s">
        <v>103</v>
      </c>
      <c r="C185" s="101" t="s">
        <v>504</v>
      </c>
      <c r="D185" s="102">
        <v>400</v>
      </c>
      <c r="E185" s="31">
        <f>8700-4771.5</f>
        <v>3928.5</v>
      </c>
      <c r="F185" s="31">
        <f>2475+4771.5</f>
        <v>7246.5</v>
      </c>
      <c r="G185" s="31">
        <v>2475</v>
      </c>
    </row>
    <row r="186" spans="1:7" ht="75" x14ac:dyDescent="0.25">
      <c r="A186" s="104" t="s">
        <v>524</v>
      </c>
      <c r="B186" s="101" t="s">
        <v>103</v>
      </c>
      <c r="C186" s="101" t="s">
        <v>505</v>
      </c>
      <c r="D186" s="102"/>
      <c r="E186" s="31">
        <f>SUM(E187)</f>
        <v>0</v>
      </c>
      <c r="F186" s="31">
        <f>SUM(F187)</f>
        <v>1938</v>
      </c>
      <c r="G186" s="31">
        <f>SUM(G187)</f>
        <v>20000</v>
      </c>
    </row>
    <row r="187" spans="1:7" ht="30" x14ac:dyDescent="0.25">
      <c r="A187" s="36" t="s">
        <v>87</v>
      </c>
      <c r="B187" s="101" t="s">
        <v>103</v>
      </c>
      <c r="C187" s="101" t="s">
        <v>505</v>
      </c>
      <c r="D187" s="102">
        <v>400</v>
      </c>
      <c r="E187" s="31">
        <v>0</v>
      </c>
      <c r="F187" s="31">
        <f>8400-6462</f>
        <v>1938</v>
      </c>
      <c r="G187" s="31">
        <v>20000</v>
      </c>
    </row>
    <row r="188" spans="1:7" ht="60" x14ac:dyDescent="0.25">
      <c r="A188" s="111" t="s">
        <v>552</v>
      </c>
      <c r="B188" s="112" t="s">
        <v>103</v>
      </c>
      <c r="C188" s="113" t="s">
        <v>514</v>
      </c>
      <c r="D188" s="26"/>
      <c r="E188" s="31">
        <f>E189</f>
        <v>3876.2</v>
      </c>
      <c r="F188" s="31">
        <v>0</v>
      </c>
      <c r="G188" s="31">
        <v>0</v>
      </c>
    </row>
    <row r="189" spans="1:7" ht="30" x14ac:dyDescent="0.25">
      <c r="A189" s="111" t="s">
        <v>87</v>
      </c>
      <c r="B189" s="112" t="s">
        <v>103</v>
      </c>
      <c r="C189" s="113" t="s">
        <v>514</v>
      </c>
      <c r="D189" s="26">
        <v>400</v>
      </c>
      <c r="E189" s="31">
        <v>3876.2</v>
      </c>
      <c r="F189" s="31">
        <v>0</v>
      </c>
      <c r="G189" s="31">
        <v>0</v>
      </c>
    </row>
    <row r="190" spans="1:7" ht="45" x14ac:dyDescent="0.25">
      <c r="A190" s="33" t="s">
        <v>260</v>
      </c>
      <c r="B190" s="34" t="s">
        <v>103</v>
      </c>
      <c r="C190" s="34" t="s">
        <v>261</v>
      </c>
      <c r="D190" s="35"/>
      <c r="E190" s="20">
        <f>SUM(E191)</f>
        <v>251456.30000000002</v>
      </c>
      <c r="F190" s="20">
        <f>SUM(F191)</f>
        <v>251456.3</v>
      </c>
      <c r="G190" s="20">
        <f>SUM(G191)</f>
        <v>251456.3</v>
      </c>
    </row>
    <row r="191" spans="1:7" x14ac:dyDescent="0.25">
      <c r="A191" s="38" t="s">
        <v>22</v>
      </c>
      <c r="B191" s="34" t="s">
        <v>103</v>
      </c>
      <c r="C191" s="34" t="s">
        <v>261</v>
      </c>
      <c r="D191" s="35">
        <v>800</v>
      </c>
      <c r="E191" s="31">
        <f>251456.3+11168.4-11168.4</f>
        <v>251456.30000000002</v>
      </c>
      <c r="F191" s="31">
        <v>251456.3</v>
      </c>
      <c r="G191" s="31">
        <v>251456.3</v>
      </c>
    </row>
    <row r="192" spans="1:7" x14ac:dyDescent="0.25">
      <c r="A192" s="105" t="s">
        <v>531</v>
      </c>
      <c r="B192" s="101" t="s">
        <v>103</v>
      </c>
      <c r="C192" s="101" t="s">
        <v>530</v>
      </c>
      <c r="D192" s="102"/>
      <c r="E192" s="31">
        <f>E193</f>
        <v>15190.2</v>
      </c>
      <c r="F192" s="31">
        <f t="shared" ref="F192:G192" si="28">F193</f>
        <v>0</v>
      </c>
      <c r="G192" s="31">
        <f t="shared" si="28"/>
        <v>0</v>
      </c>
    </row>
    <row r="193" spans="1:7" ht="30" x14ac:dyDescent="0.25">
      <c r="A193" s="104" t="s">
        <v>21</v>
      </c>
      <c r="B193" s="101" t="s">
        <v>103</v>
      </c>
      <c r="C193" s="101" t="s">
        <v>530</v>
      </c>
      <c r="D193" s="102">
        <v>200</v>
      </c>
      <c r="E193" s="31">
        <f>12364.1+2826.1</f>
        <v>15190.2</v>
      </c>
      <c r="F193" s="31">
        <v>0</v>
      </c>
      <c r="G193" s="31">
        <v>0</v>
      </c>
    </row>
    <row r="194" spans="1:7" ht="60" x14ac:dyDescent="0.25">
      <c r="A194" s="33" t="s">
        <v>262</v>
      </c>
      <c r="B194" s="34" t="s">
        <v>103</v>
      </c>
      <c r="C194" s="34" t="s">
        <v>263</v>
      </c>
      <c r="D194" s="35"/>
      <c r="E194" s="20">
        <f>SUM(E195)</f>
        <v>2429.9</v>
      </c>
      <c r="F194" s="20">
        <f>SUM(F195)</f>
        <v>2429.9</v>
      </c>
      <c r="G194" s="20">
        <f>SUM(G195)</f>
        <v>2429.9</v>
      </c>
    </row>
    <row r="195" spans="1:7" x14ac:dyDescent="0.25">
      <c r="A195" s="38" t="s">
        <v>22</v>
      </c>
      <c r="B195" s="34" t="s">
        <v>103</v>
      </c>
      <c r="C195" s="34" t="s">
        <v>263</v>
      </c>
      <c r="D195" s="35">
        <v>800</v>
      </c>
      <c r="E195" s="31">
        <v>2429.9</v>
      </c>
      <c r="F195" s="31">
        <v>2429.9</v>
      </c>
      <c r="G195" s="31">
        <v>2429.9</v>
      </c>
    </row>
    <row r="196" spans="1:7" ht="45" x14ac:dyDescent="0.25">
      <c r="A196" s="33" t="s">
        <v>264</v>
      </c>
      <c r="B196" s="34" t="s">
        <v>103</v>
      </c>
      <c r="C196" s="34" t="s">
        <v>265</v>
      </c>
      <c r="D196" s="35"/>
      <c r="E196" s="20">
        <f>SUM(E197)</f>
        <v>37516.300000000003</v>
      </c>
      <c r="F196" s="20">
        <f>SUM(F197)</f>
        <v>37516.300000000003</v>
      </c>
      <c r="G196" s="20">
        <f>SUM(G197)</f>
        <v>37516.300000000003</v>
      </c>
    </row>
    <row r="197" spans="1:7" x14ac:dyDescent="0.25">
      <c r="A197" s="38" t="s">
        <v>22</v>
      </c>
      <c r="B197" s="34" t="s">
        <v>103</v>
      </c>
      <c r="C197" s="34" t="s">
        <v>265</v>
      </c>
      <c r="D197" s="35">
        <v>800</v>
      </c>
      <c r="E197" s="31">
        <v>37516.300000000003</v>
      </c>
      <c r="F197" s="31">
        <v>37516.300000000003</v>
      </c>
      <c r="G197" s="31">
        <v>37516.300000000003</v>
      </c>
    </row>
    <row r="198" spans="1:7" x14ac:dyDescent="0.25">
      <c r="A198" s="41" t="s">
        <v>113</v>
      </c>
      <c r="B198" s="42" t="s">
        <v>114</v>
      </c>
      <c r="C198" s="42"/>
      <c r="D198" s="43"/>
      <c r="E198" s="14">
        <f>SUM(E199+E221)</f>
        <v>27939.3</v>
      </c>
      <c r="F198" s="14">
        <f>SUM(F199+F221)</f>
        <v>29336.399999999998</v>
      </c>
      <c r="G198" s="14">
        <f>SUM(G199+G221)</f>
        <v>27382.1</v>
      </c>
    </row>
    <row r="199" spans="1:7" ht="30" x14ac:dyDescent="0.25">
      <c r="A199" s="33" t="s">
        <v>127</v>
      </c>
      <c r="B199" s="34" t="s">
        <v>114</v>
      </c>
      <c r="C199" s="37" t="s">
        <v>128</v>
      </c>
      <c r="D199" s="35"/>
      <c r="E199" s="20">
        <f>SUM(E200+E206)</f>
        <v>19845.599999999999</v>
      </c>
      <c r="F199" s="20">
        <f>SUM(F200+F206)</f>
        <v>1450</v>
      </c>
      <c r="G199" s="20">
        <f>SUM(G200+G206)</f>
        <v>1350</v>
      </c>
    </row>
    <row r="200" spans="1:7" x14ac:dyDescent="0.25">
      <c r="A200" s="33" t="s">
        <v>129</v>
      </c>
      <c r="B200" s="34" t="s">
        <v>114</v>
      </c>
      <c r="C200" s="37" t="s">
        <v>130</v>
      </c>
      <c r="D200" s="35"/>
      <c r="E200" s="20">
        <f>SUM(E201)</f>
        <v>19037.599999999999</v>
      </c>
      <c r="F200" s="20">
        <f t="shared" ref="F200:G204" si="29">SUM(F201)</f>
        <v>100</v>
      </c>
      <c r="G200" s="20">
        <f t="shared" si="29"/>
        <v>0</v>
      </c>
    </row>
    <row r="201" spans="1:7" ht="30" x14ac:dyDescent="0.25">
      <c r="A201" s="33" t="s">
        <v>131</v>
      </c>
      <c r="B201" s="34" t="s">
        <v>114</v>
      </c>
      <c r="C201" s="37" t="s">
        <v>132</v>
      </c>
      <c r="D201" s="35"/>
      <c r="E201" s="20">
        <f>SUM(E204)+E202</f>
        <v>19037.599999999999</v>
      </c>
      <c r="F201" s="20">
        <f t="shared" ref="F201:G201" si="30">SUM(F204)+F202</f>
        <v>100</v>
      </c>
      <c r="G201" s="20">
        <f t="shared" si="30"/>
        <v>0</v>
      </c>
    </row>
    <row r="202" spans="1:7" ht="45" x14ac:dyDescent="0.25">
      <c r="A202" s="105" t="s">
        <v>532</v>
      </c>
      <c r="B202" s="101" t="s">
        <v>114</v>
      </c>
      <c r="C202" s="101" t="s">
        <v>533</v>
      </c>
      <c r="D202" s="102"/>
      <c r="E202" s="20">
        <f>E203</f>
        <v>19037.599999999999</v>
      </c>
      <c r="F202" s="20">
        <f t="shared" ref="F202:G202" si="31">F203</f>
        <v>0</v>
      </c>
      <c r="G202" s="20">
        <f t="shared" si="31"/>
        <v>0</v>
      </c>
    </row>
    <row r="203" spans="1:7" ht="30" x14ac:dyDescent="0.25">
      <c r="A203" s="103" t="s">
        <v>87</v>
      </c>
      <c r="B203" s="101" t="s">
        <v>114</v>
      </c>
      <c r="C203" s="101" t="s">
        <v>533</v>
      </c>
      <c r="D203" s="102">
        <v>400</v>
      </c>
      <c r="E203" s="20">
        <v>19037.599999999999</v>
      </c>
      <c r="F203" s="20">
        <v>0</v>
      </c>
      <c r="G203" s="20">
        <v>0</v>
      </c>
    </row>
    <row r="204" spans="1:7" ht="45" x14ac:dyDescent="0.25">
      <c r="A204" s="116" t="s">
        <v>506</v>
      </c>
      <c r="B204" s="101" t="s">
        <v>114</v>
      </c>
      <c r="C204" s="101" t="s">
        <v>507</v>
      </c>
      <c r="D204" s="102"/>
      <c r="E204" s="31">
        <f>SUM(E205)</f>
        <v>0</v>
      </c>
      <c r="F204" s="31">
        <f t="shared" si="29"/>
        <v>100</v>
      </c>
      <c r="G204" s="31">
        <f t="shared" si="29"/>
        <v>0</v>
      </c>
    </row>
    <row r="205" spans="1:7" ht="30" x14ac:dyDescent="0.25">
      <c r="A205" s="103" t="s">
        <v>87</v>
      </c>
      <c r="B205" s="101" t="s">
        <v>114</v>
      </c>
      <c r="C205" s="101" t="s">
        <v>507</v>
      </c>
      <c r="D205" s="102">
        <v>400</v>
      </c>
      <c r="E205" s="31">
        <v>0</v>
      </c>
      <c r="F205" s="31">
        <v>100</v>
      </c>
      <c r="G205" s="31">
        <v>0</v>
      </c>
    </row>
    <row r="206" spans="1:7" ht="30" x14ac:dyDescent="0.25">
      <c r="A206" s="38" t="s">
        <v>133</v>
      </c>
      <c r="B206" s="34" t="s">
        <v>114</v>
      </c>
      <c r="C206" s="37" t="s">
        <v>134</v>
      </c>
      <c r="D206" s="35"/>
      <c r="E206" s="20">
        <f>SUM(E207+E218)</f>
        <v>808.00000000000011</v>
      </c>
      <c r="F206" s="20">
        <f>SUM(F207+F218)</f>
        <v>1350</v>
      </c>
      <c r="G206" s="20">
        <f>SUM(G207+G218)</f>
        <v>1350</v>
      </c>
    </row>
    <row r="207" spans="1:7" ht="30" x14ac:dyDescent="0.25">
      <c r="A207" s="38" t="s">
        <v>135</v>
      </c>
      <c r="B207" s="34" t="s">
        <v>114</v>
      </c>
      <c r="C207" s="37" t="s">
        <v>136</v>
      </c>
      <c r="D207" s="35"/>
      <c r="E207" s="20">
        <f>SUM(E208+E210+E212+E214+E216)</f>
        <v>634.90000000000009</v>
      </c>
      <c r="F207" s="20">
        <f>SUM(F208+F210+F212+F214+F216)</f>
        <v>1150</v>
      </c>
      <c r="G207" s="20">
        <f>SUM(G208+G210+G212+G214+G216)</f>
        <v>1150</v>
      </c>
    </row>
    <row r="208" spans="1:7" ht="45" x14ac:dyDescent="0.25">
      <c r="A208" s="38" t="s">
        <v>137</v>
      </c>
      <c r="B208" s="34" t="s">
        <v>114</v>
      </c>
      <c r="C208" s="37" t="s">
        <v>138</v>
      </c>
      <c r="D208" s="35"/>
      <c r="E208" s="20">
        <f>SUM(E209)</f>
        <v>248.5</v>
      </c>
      <c r="F208" s="20">
        <f>SUM(F209)</f>
        <v>450</v>
      </c>
      <c r="G208" s="20">
        <f>SUM(G209)</f>
        <v>450</v>
      </c>
    </row>
    <row r="209" spans="1:7" ht="30" x14ac:dyDescent="0.25">
      <c r="A209" s="1" t="s">
        <v>21</v>
      </c>
      <c r="B209" s="34" t="s">
        <v>114</v>
      </c>
      <c r="C209" s="37" t="s">
        <v>138</v>
      </c>
      <c r="D209" s="35">
        <v>200</v>
      </c>
      <c r="E209" s="31">
        <v>248.5</v>
      </c>
      <c r="F209" s="31">
        <v>450</v>
      </c>
      <c r="G209" s="31">
        <v>450</v>
      </c>
    </row>
    <row r="210" spans="1:7" ht="30" x14ac:dyDescent="0.25">
      <c r="A210" s="38" t="s">
        <v>139</v>
      </c>
      <c r="B210" s="34" t="s">
        <v>114</v>
      </c>
      <c r="C210" s="34" t="s">
        <v>140</v>
      </c>
      <c r="D210" s="35"/>
      <c r="E210" s="20">
        <f>SUM(E211)</f>
        <v>165.6</v>
      </c>
      <c r="F210" s="20">
        <f>SUM(F211)</f>
        <v>300</v>
      </c>
      <c r="G210" s="20">
        <f>SUM(G211)</f>
        <v>300</v>
      </c>
    </row>
    <row r="211" spans="1:7" x14ac:dyDescent="0.25">
      <c r="A211" s="38" t="s">
        <v>22</v>
      </c>
      <c r="B211" s="34" t="s">
        <v>114</v>
      </c>
      <c r="C211" s="34" t="s">
        <v>140</v>
      </c>
      <c r="D211" s="35">
        <v>800</v>
      </c>
      <c r="E211" s="31">
        <v>165.6</v>
      </c>
      <c r="F211" s="31">
        <v>300</v>
      </c>
      <c r="G211" s="31">
        <v>300</v>
      </c>
    </row>
    <row r="212" spans="1:7" ht="60" x14ac:dyDescent="0.25">
      <c r="A212" s="36" t="s">
        <v>141</v>
      </c>
      <c r="B212" s="34" t="s">
        <v>114</v>
      </c>
      <c r="C212" s="34" t="s">
        <v>142</v>
      </c>
      <c r="D212" s="35"/>
      <c r="E212" s="20">
        <f>SUM(E213)</f>
        <v>110.4</v>
      </c>
      <c r="F212" s="20">
        <f>SUM(F213)</f>
        <v>200</v>
      </c>
      <c r="G212" s="20">
        <f>SUM(G213)</f>
        <v>200</v>
      </c>
    </row>
    <row r="213" spans="1:7" x14ac:dyDescent="0.25">
      <c r="A213" s="38" t="s">
        <v>22</v>
      </c>
      <c r="B213" s="34" t="s">
        <v>114</v>
      </c>
      <c r="C213" s="34" t="s">
        <v>142</v>
      </c>
      <c r="D213" s="35">
        <v>800</v>
      </c>
      <c r="E213" s="31">
        <v>110.4</v>
      </c>
      <c r="F213" s="31">
        <v>200</v>
      </c>
      <c r="G213" s="31">
        <v>200</v>
      </c>
    </row>
    <row r="214" spans="1:7" ht="105" x14ac:dyDescent="0.25">
      <c r="A214" s="36" t="s">
        <v>143</v>
      </c>
      <c r="B214" s="34" t="s">
        <v>114</v>
      </c>
      <c r="C214" s="34" t="s">
        <v>144</v>
      </c>
      <c r="D214" s="35"/>
      <c r="E214" s="20">
        <f>SUM(E215)</f>
        <v>55.2</v>
      </c>
      <c r="F214" s="20">
        <f>SUM(F215)</f>
        <v>100</v>
      </c>
      <c r="G214" s="20">
        <f>SUM(G215)</f>
        <v>100</v>
      </c>
    </row>
    <row r="215" spans="1:7" x14ac:dyDescent="0.25">
      <c r="A215" s="36" t="s">
        <v>22</v>
      </c>
      <c r="B215" s="34" t="s">
        <v>114</v>
      </c>
      <c r="C215" s="34" t="s">
        <v>144</v>
      </c>
      <c r="D215" s="35">
        <v>800</v>
      </c>
      <c r="E215" s="31">
        <v>55.2</v>
      </c>
      <c r="F215" s="31">
        <v>100</v>
      </c>
      <c r="G215" s="31">
        <v>100</v>
      </c>
    </row>
    <row r="216" spans="1:7" ht="90" x14ac:dyDescent="0.25">
      <c r="A216" s="36" t="s">
        <v>145</v>
      </c>
      <c r="B216" s="34" t="s">
        <v>114</v>
      </c>
      <c r="C216" s="34" t="s">
        <v>146</v>
      </c>
      <c r="D216" s="35"/>
      <c r="E216" s="20">
        <f>SUM(E217)</f>
        <v>55.2</v>
      </c>
      <c r="F216" s="20">
        <f>SUM(F217)</f>
        <v>100</v>
      </c>
      <c r="G216" s="20">
        <f>SUM(G217)</f>
        <v>100</v>
      </c>
    </row>
    <row r="217" spans="1:7" x14ac:dyDescent="0.25">
      <c r="A217" s="36" t="s">
        <v>22</v>
      </c>
      <c r="B217" s="34" t="s">
        <v>114</v>
      </c>
      <c r="C217" s="34" t="s">
        <v>146</v>
      </c>
      <c r="D217" s="35">
        <v>800</v>
      </c>
      <c r="E217" s="31">
        <v>55.2</v>
      </c>
      <c r="F217" s="31">
        <v>100</v>
      </c>
      <c r="G217" s="31">
        <v>100</v>
      </c>
    </row>
    <row r="218" spans="1:7" ht="30" x14ac:dyDescent="0.25">
      <c r="A218" s="36" t="s">
        <v>147</v>
      </c>
      <c r="B218" s="34" t="s">
        <v>114</v>
      </c>
      <c r="C218" s="34" t="s">
        <v>148</v>
      </c>
      <c r="D218" s="35"/>
      <c r="E218" s="20">
        <f>E219</f>
        <v>173.1</v>
      </c>
      <c r="F218" s="20">
        <f>F219</f>
        <v>200</v>
      </c>
      <c r="G218" s="20">
        <f>G219</f>
        <v>200</v>
      </c>
    </row>
    <row r="219" spans="1:7" ht="30" x14ac:dyDescent="0.25">
      <c r="A219" s="49" t="s">
        <v>149</v>
      </c>
      <c r="B219" s="34" t="s">
        <v>114</v>
      </c>
      <c r="C219" s="34" t="s">
        <v>150</v>
      </c>
      <c r="D219" s="35"/>
      <c r="E219" s="20">
        <f>SUM(E220)</f>
        <v>173.1</v>
      </c>
      <c r="F219" s="20">
        <f>SUM(F220)</f>
        <v>200</v>
      </c>
      <c r="G219" s="20">
        <f>SUM(G220)</f>
        <v>200</v>
      </c>
    </row>
    <row r="220" spans="1:7" ht="30" x14ac:dyDescent="0.25">
      <c r="A220" s="36" t="s">
        <v>66</v>
      </c>
      <c r="B220" s="34" t="s">
        <v>114</v>
      </c>
      <c r="C220" s="34" t="s">
        <v>150</v>
      </c>
      <c r="D220" s="35">
        <v>600</v>
      </c>
      <c r="E220" s="31">
        <v>173.1</v>
      </c>
      <c r="F220" s="31">
        <v>200</v>
      </c>
      <c r="G220" s="31">
        <v>200</v>
      </c>
    </row>
    <row r="221" spans="1:7" ht="60" x14ac:dyDescent="0.25">
      <c r="A221" s="33" t="s">
        <v>115</v>
      </c>
      <c r="B221" s="34" t="s">
        <v>114</v>
      </c>
      <c r="C221" s="37" t="s">
        <v>116</v>
      </c>
      <c r="D221" s="45"/>
      <c r="E221" s="20">
        <f>SUM(E222+E229)</f>
        <v>8093.7000000000007</v>
      </c>
      <c r="F221" s="20">
        <f>SUM(F222+F229)</f>
        <v>27886.399999999998</v>
      </c>
      <c r="G221" s="20">
        <f>SUM(G222+G229)</f>
        <v>26032.1</v>
      </c>
    </row>
    <row r="222" spans="1:7" ht="30" x14ac:dyDescent="0.25">
      <c r="A222" s="33" t="s">
        <v>117</v>
      </c>
      <c r="B222" s="34" t="s">
        <v>114</v>
      </c>
      <c r="C222" s="37" t="s">
        <v>118</v>
      </c>
      <c r="D222" s="45"/>
      <c r="E222" s="20">
        <f>SUM(E223)+E225+E227</f>
        <v>1960.8000000000002</v>
      </c>
      <c r="F222" s="20">
        <f t="shared" ref="F222:G222" si="32">SUM(F223)+F225</f>
        <v>712.6</v>
      </c>
      <c r="G222" s="20">
        <f t="shared" si="32"/>
        <v>712.6</v>
      </c>
    </row>
    <row r="223" spans="1:7" ht="45" x14ac:dyDescent="0.25">
      <c r="A223" s="33" t="s">
        <v>119</v>
      </c>
      <c r="B223" s="34" t="s">
        <v>114</v>
      </c>
      <c r="C223" s="37" t="s">
        <v>120</v>
      </c>
      <c r="D223" s="45"/>
      <c r="E223" s="20">
        <f t="shared" ref="E223:G223" si="33">SUM(E224)</f>
        <v>346.4</v>
      </c>
      <c r="F223" s="20">
        <f t="shared" si="33"/>
        <v>712.6</v>
      </c>
      <c r="G223" s="20">
        <f t="shared" si="33"/>
        <v>712.6</v>
      </c>
    </row>
    <row r="224" spans="1:7" ht="30" x14ac:dyDescent="0.25">
      <c r="A224" s="1" t="s">
        <v>21</v>
      </c>
      <c r="B224" s="34" t="s">
        <v>114</v>
      </c>
      <c r="C224" s="37" t="s">
        <v>120</v>
      </c>
      <c r="D224" s="45">
        <v>200</v>
      </c>
      <c r="E224" s="31">
        <f>393.4-47</f>
        <v>346.4</v>
      </c>
      <c r="F224" s="31">
        <v>712.6</v>
      </c>
      <c r="G224" s="31">
        <v>712.6</v>
      </c>
    </row>
    <row r="225" spans="1:7" ht="105" x14ac:dyDescent="0.25">
      <c r="A225" s="104" t="s">
        <v>563</v>
      </c>
      <c r="B225" s="34" t="s">
        <v>114</v>
      </c>
      <c r="C225" s="101" t="s">
        <v>539</v>
      </c>
      <c r="D225" s="102"/>
      <c r="E225" s="31">
        <f>E226</f>
        <v>1614.4</v>
      </c>
      <c r="F225" s="31">
        <f t="shared" ref="F225:G225" si="34">F226</f>
        <v>0</v>
      </c>
      <c r="G225" s="31">
        <f t="shared" si="34"/>
        <v>0</v>
      </c>
    </row>
    <row r="226" spans="1:7" ht="30" x14ac:dyDescent="0.25">
      <c r="A226" s="104" t="s">
        <v>21</v>
      </c>
      <c r="B226" s="34" t="s">
        <v>114</v>
      </c>
      <c r="C226" s="101" t="s">
        <v>539</v>
      </c>
      <c r="D226" s="102">
        <v>200</v>
      </c>
      <c r="E226" s="31">
        <f>47+1567.4</f>
        <v>1614.4</v>
      </c>
      <c r="F226" s="31">
        <v>0</v>
      </c>
      <c r="G226" s="31">
        <v>0</v>
      </c>
    </row>
    <row r="227" spans="1:7" ht="105" x14ac:dyDescent="0.25">
      <c r="A227" s="104" t="s">
        <v>563</v>
      </c>
      <c r="B227" s="34" t="s">
        <v>114</v>
      </c>
      <c r="C227" s="101" t="s">
        <v>556</v>
      </c>
      <c r="D227" s="102"/>
      <c r="E227" s="31">
        <f>SUM(E228)</f>
        <v>0</v>
      </c>
      <c r="F227" s="31">
        <v>0</v>
      </c>
      <c r="G227" s="31">
        <v>0</v>
      </c>
    </row>
    <row r="228" spans="1:7" ht="30" x14ac:dyDescent="0.25">
      <c r="A228" s="104" t="s">
        <v>21</v>
      </c>
      <c r="B228" s="34" t="s">
        <v>114</v>
      </c>
      <c r="C228" s="101" t="s">
        <v>556</v>
      </c>
      <c r="D228" s="102">
        <v>200</v>
      </c>
      <c r="E228" s="31">
        <f>1567.4-1567.4</f>
        <v>0</v>
      </c>
      <c r="F228" s="31">
        <v>0</v>
      </c>
      <c r="G228" s="31">
        <v>0</v>
      </c>
    </row>
    <row r="229" spans="1:7" ht="30" x14ac:dyDescent="0.25">
      <c r="A229" s="38" t="s">
        <v>121</v>
      </c>
      <c r="B229" s="34" t="s">
        <v>114</v>
      </c>
      <c r="C229" s="37" t="s">
        <v>122</v>
      </c>
      <c r="D229" s="45"/>
      <c r="E229" s="20">
        <f>SUM(E232)+E230</f>
        <v>6132.9000000000005</v>
      </c>
      <c r="F229" s="20">
        <f>SUM(F232)+F230</f>
        <v>27173.8</v>
      </c>
      <c r="G229" s="20">
        <f>SUM(G232)+G230</f>
        <v>25319.5</v>
      </c>
    </row>
    <row r="230" spans="1:7" ht="45" x14ac:dyDescent="0.25">
      <c r="A230" s="38" t="s">
        <v>123</v>
      </c>
      <c r="B230" s="34" t="s">
        <v>114</v>
      </c>
      <c r="C230" s="37" t="s">
        <v>124</v>
      </c>
      <c r="D230" s="45"/>
      <c r="E230" s="20">
        <f>E231</f>
        <v>133.80000000000001</v>
      </c>
      <c r="F230" s="20">
        <f>F231</f>
        <v>133.80000000000001</v>
      </c>
      <c r="G230" s="20">
        <f>G231</f>
        <v>133.80000000000001</v>
      </c>
    </row>
    <row r="231" spans="1:7" ht="30" x14ac:dyDescent="0.25">
      <c r="A231" s="1" t="s">
        <v>21</v>
      </c>
      <c r="B231" s="34" t="s">
        <v>114</v>
      </c>
      <c r="C231" s="37" t="s">
        <v>124</v>
      </c>
      <c r="D231" s="45">
        <v>200</v>
      </c>
      <c r="E231" s="31">
        <f>73.9+59.9</f>
        <v>133.80000000000001</v>
      </c>
      <c r="F231" s="31">
        <v>133.80000000000001</v>
      </c>
      <c r="G231" s="31">
        <v>133.80000000000001</v>
      </c>
    </row>
    <row r="232" spans="1:7" ht="60" x14ac:dyDescent="0.25">
      <c r="A232" s="38" t="s">
        <v>125</v>
      </c>
      <c r="B232" s="34" t="s">
        <v>114</v>
      </c>
      <c r="C232" s="34" t="s">
        <v>126</v>
      </c>
      <c r="D232" s="35"/>
      <c r="E232" s="20">
        <f>SUM(E233)</f>
        <v>5999.1</v>
      </c>
      <c r="F232" s="20">
        <f>SUM(F233)</f>
        <v>27040</v>
      </c>
      <c r="G232" s="20">
        <f>SUM(G233)</f>
        <v>25185.7</v>
      </c>
    </row>
    <row r="233" spans="1:7" ht="30" x14ac:dyDescent="0.25">
      <c r="A233" s="1" t="s">
        <v>21</v>
      </c>
      <c r="B233" s="34" t="s">
        <v>114</v>
      </c>
      <c r="C233" s="34" t="s">
        <v>126</v>
      </c>
      <c r="D233" s="35">
        <v>200</v>
      </c>
      <c r="E233" s="31">
        <f>2921+3078.1</f>
        <v>5999.1</v>
      </c>
      <c r="F233" s="31">
        <v>27040</v>
      </c>
      <c r="G233" s="31">
        <v>25185.7</v>
      </c>
    </row>
    <row r="234" spans="1:7" x14ac:dyDescent="0.25">
      <c r="A234" s="41" t="s">
        <v>151</v>
      </c>
      <c r="B234" s="42" t="s">
        <v>152</v>
      </c>
      <c r="C234" s="42"/>
      <c r="D234" s="43"/>
      <c r="E234" s="14">
        <f>E235+E267+E291+E318</f>
        <v>921729.39999999991</v>
      </c>
      <c r="F234" s="14">
        <f>F235+F267+F291+F318</f>
        <v>408286.80000000005</v>
      </c>
      <c r="G234" s="14">
        <f>G235+G267+G291+G318</f>
        <v>424396.1</v>
      </c>
    </row>
    <row r="235" spans="1:7" x14ac:dyDescent="0.25">
      <c r="A235" s="41" t="s">
        <v>153</v>
      </c>
      <c r="B235" s="42" t="s">
        <v>154</v>
      </c>
      <c r="C235" s="42"/>
      <c r="D235" s="43"/>
      <c r="E235" s="14">
        <f>SUM(E251)+E236+E239</f>
        <v>326116.89999999997</v>
      </c>
      <c r="F235" s="14">
        <f>SUM(F251)+F236+F239</f>
        <v>36944.800000000003</v>
      </c>
      <c r="G235" s="14">
        <f>SUM(G251)+G236+G239</f>
        <v>37154.199999999997</v>
      </c>
    </row>
    <row r="236" spans="1:7" x14ac:dyDescent="0.25">
      <c r="A236" s="48" t="s">
        <v>10</v>
      </c>
      <c r="B236" s="34" t="s">
        <v>154</v>
      </c>
      <c r="C236" s="34" t="s">
        <v>11</v>
      </c>
      <c r="D236" s="35"/>
      <c r="E236" s="20">
        <f t="shared" ref="E236:G237" si="35">SUM(E237)</f>
        <v>1800</v>
      </c>
      <c r="F236" s="20">
        <f t="shared" si="35"/>
        <v>1800</v>
      </c>
      <c r="G236" s="20">
        <f t="shared" si="35"/>
        <v>1800</v>
      </c>
    </row>
    <row r="237" spans="1:7" ht="30" x14ac:dyDescent="0.25">
      <c r="A237" s="48" t="s">
        <v>438</v>
      </c>
      <c r="B237" s="34" t="s">
        <v>154</v>
      </c>
      <c r="C237" s="34" t="s">
        <v>439</v>
      </c>
      <c r="D237" s="35"/>
      <c r="E237" s="20">
        <f t="shared" si="35"/>
        <v>1800</v>
      </c>
      <c r="F237" s="20">
        <f t="shared" si="35"/>
        <v>1800</v>
      </c>
      <c r="G237" s="20">
        <f t="shared" si="35"/>
        <v>1800</v>
      </c>
    </row>
    <row r="238" spans="1:7" ht="30" x14ac:dyDescent="0.25">
      <c r="A238" s="36" t="s">
        <v>87</v>
      </c>
      <c r="B238" s="34" t="s">
        <v>154</v>
      </c>
      <c r="C238" s="34" t="s">
        <v>439</v>
      </c>
      <c r="D238" s="35">
        <v>400</v>
      </c>
      <c r="E238" s="31">
        <v>1800</v>
      </c>
      <c r="F238" s="31">
        <v>1800</v>
      </c>
      <c r="G238" s="31">
        <v>1800</v>
      </c>
    </row>
    <row r="239" spans="1:7" ht="30" x14ac:dyDescent="0.25">
      <c r="A239" s="33" t="s">
        <v>266</v>
      </c>
      <c r="B239" s="34" t="s">
        <v>154</v>
      </c>
      <c r="C239" s="37" t="s">
        <v>267</v>
      </c>
      <c r="D239" s="45"/>
      <c r="E239" s="20">
        <f>SUM(E247)+E241</f>
        <v>296710.3</v>
      </c>
      <c r="F239" s="20">
        <f>SUM(F247)+F241</f>
        <v>992</v>
      </c>
      <c r="G239" s="20">
        <f>SUM(G247)+G241</f>
        <v>1005.1</v>
      </c>
    </row>
    <row r="240" spans="1:7" ht="30" x14ac:dyDescent="0.25">
      <c r="A240" s="33" t="s">
        <v>268</v>
      </c>
      <c r="B240" s="34" t="s">
        <v>154</v>
      </c>
      <c r="C240" s="37" t="s">
        <v>463</v>
      </c>
      <c r="D240" s="45"/>
      <c r="E240" s="20">
        <f>E241</f>
        <v>296439.8</v>
      </c>
      <c r="F240" s="20">
        <f>F241</f>
        <v>500</v>
      </c>
      <c r="G240" s="20">
        <f>G241</f>
        <v>500</v>
      </c>
    </row>
    <row r="241" spans="1:7" ht="30" x14ac:dyDescent="0.25">
      <c r="A241" s="33" t="s">
        <v>464</v>
      </c>
      <c r="B241" s="34" t="s">
        <v>154</v>
      </c>
      <c r="C241" s="37" t="s">
        <v>269</v>
      </c>
      <c r="D241" s="45"/>
      <c r="E241" s="20">
        <f>E245+E242</f>
        <v>296439.8</v>
      </c>
      <c r="F241" s="20">
        <f t="shared" ref="F241:G241" si="36">F245+F242</f>
        <v>500</v>
      </c>
      <c r="G241" s="20">
        <f t="shared" si="36"/>
        <v>500</v>
      </c>
    </row>
    <row r="242" spans="1:7" ht="135" x14ac:dyDescent="0.25">
      <c r="A242" s="103" t="s">
        <v>541</v>
      </c>
      <c r="B242" s="101" t="s">
        <v>154</v>
      </c>
      <c r="C242" s="101" t="s">
        <v>540</v>
      </c>
      <c r="D242" s="102"/>
      <c r="E242" s="20">
        <f>E243+E244</f>
        <v>296163.7</v>
      </c>
      <c r="F242" s="20">
        <f t="shared" ref="F242:G242" si="37">F243</f>
        <v>0</v>
      </c>
      <c r="G242" s="20">
        <f t="shared" si="37"/>
        <v>0</v>
      </c>
    </row>
    <row r="243" spans="1:7" ht="30" x14ac:dyDescent="0.25">
      <c r="A243" s="103" t="s">
        <v>87</v>
      </c>
      <c r="B243" s="101" t="s">
        <v>154</v>
      </c>
      <c r="C243" s="101" t="s">
        <v>540</v>
      </c>
      <c r="D243" s="102">
        <v>400</v>
      </c>
      <c r="E243" s="31">
        <f>275147.9+7475</f>
        <v>282622.90000000002</v>
      </c>
      <c r="F243" s="20">
        <v>0</v>
      </c>
      <c r="G243" s="20">
        <v>0</v>
      </c>
    </row>
    <row r="244" spans="1:7" x14ac:dyDescent="0.25">
      <c r="A244" s="103" t="s">
        <v>22</v>
      </c>
      <c r="B244" s="101" t="s">
        <v>154</v>
      </c>
      <c r="C244" s="101" t="s">
        <v>540</v>
      </c>
      <c r="D244" s="102">
        <v>800</v>
      </c>
      <c r="E244" s="31">
        <v>13540.8</v>
      </c>
      <c r="F244" s="20">
        <v>0</v>
      </c>
      <c r="G244" s="20">
        <v>0</v>
      </c>
    </row>
    <row r="245" spans="1:7" x14ac:dyDescent="0.25">
      <c r="A245" s="33" t="s">
        <v>270</v>
      </c>
      <c r="B245" s="37" t="s">
        <v>154</v>
      </c>
      <c r="C245" s="37" t="s">
        <v>271</v>
      </c>
      <c r="D245" s="45"/>
      <c r="E245" s="31">
        <f>E246</f>
        <v>276.10000000000002</v>
      </c>
      <c r="F245" s="31">
        <f t="shared" ref="F245:G245" si="38">F246</f>
        <v>500</v>
      </c>
      <c r="G245" s="31">
        <f t="shared" si="38"/>
        <v>500</v>
      </c>
    </row>
    <row r="246" spans="1:7" ht="30" x14ac:dyDescent="0.25">
      <c r="A246" s="1" t="s">
        <v>21</v>
      </c>
      <c r="B246" s="37" t="s">
        <v>154</v>
      </c>
      <c r="C246" s="37" t="s">
        <v>271</v>
      </c>
      <c r="D246" s="45">
        <v>200</v>
      </c>
      <c r="E246" s="31">
        <v>276.10000000000002</v>
      </c>
      <c r="F246" s="31">
        <v>500</v>
      </c>
      <c r="G246" s="31">
        <v>500</v>
      </c>
    </row>
    <row r="247" spans="1:7" ht="45" x14ac:dyDescent="0.25">
      <c r="A247" s="33" t="s">
        <v>440</v>
      </c>
      <c r="B247" s="34" t="s">
        <v>154</v>
      </c>
      <c r="C247" s="34" t="s">
        <v>441</v>
      </c>
      <c r="D247" s="35"/>
      <c r="E247" s="20">
        <f>SUM(E248)</f>
        <v>270.5</v>
      </c>
      <c r="F247" s="20">
        <f t="shared" ref="F247:G249" si="39">SUM(F248)</f>
        <v>492</v>
      </c>
      <c r="G247" s="20">
        <f t="shared" si="39"/>
        <v>505.1</v>
      </c>
    </row>
    <row r="248" spans="1:7" ht="45" x14ac:dyDescent="0.25">
      <c r="A248" s="33" t="s">
        <v>442</v>
      </c>
      <c r="B248" s="34" t="s">
        <v>154</v>
      </c>
      <c r="C248" s="34" t="s">
        <v>443</v>
      </c>
      <c r="D248" s="35"/>
      <c r="E248" s="20">
        <f>SUM(E249)</f>
        <v>270.5</v>
      </c>
      <c r="F248" s="20">
        <f t="shared" si="39"/>
        <v>492</v>
      </c>
      <c r="G248" s="20">
        <f t="shared" si="39"/>
        <v>505.1</v>
      </c>
    </row>
    <row r="249" spans="1:7" x14ac:dyDescent="0.25">
      <c r="A249" s="33" t="s">
        <v>444</v>
      </c>
      <c r="B249" s="34" t="s">
        <v>154</v>
      </c>
      <c r="C249" s="34" t="s">
        <v>445</v>
      </c>
      <c r="D249" s="35"/>
      <c r="E249" s="20">
        <f>SUM(E250)</f>
        <v>270.5</v>
      </c>
      <c r="F249" s="20">
        <f t="shared" si="39"/>
        <v>492</v>
      </c>
      <c r="G249" s="20">
        <f t="shared" si="39"/>
        <v>505.1</v>
      </c>
    </row>
    <row r="250" spans="1:7" ht="30" x14ac:dyDescent="0.25">
      <c r="A250" s="38" t="s">
        <v>21</v>
      </c>
      <c r="B250" s="34" t="s">
        <v>154</v>
      </c>
      <c r="C250" s="34" t="s">
        <v>445</v>
      </c>
      <c r="D250" s="35">
        <v>200</v>
      </c>
      <c r="E250" s="31">
        <v>270.5</v>
      </c>
      <c r="F250" s="31">
        <v>492</v>
      </c>
      <c r="G250" s="31">
        <v>505.1</v>
      </c>
    </row>
    <row r="251" spans="1:7" ht="60" x14ac:dyDescent="0.25">
      <c r="A251" s="33" t="s">
        <v>272</v>
      </c>
      <c r="B251" s="34" t="s">
        <v>154</v>
      </c>
      <c r="C251" s="34" t="s">
        <v>108</v>
      </c>
      <c r="D251" s="35"/>
      <c r="E251" s="20">
        <f>E252+E261</f>
        <v>27606.6</v>
      </c>
      <c r="F251" s="20">
        <f>F252+F261</f>
        <v>34152.800000000003</v>
      </c>
      <c r="G251" s="20">
        <f>G252+G261</f>
        <v>34349.1</v>
      </c>
    </row>
    <row r="252" spans="1:7" ht="45" x14ac:dyDescent="0.25">
      <c r="A252" s="33" t="s">
        <v>155</v>
      </c>
      <c r="B252" s="34" t="s">
        <v>154</v>
      </c>
      <c r="C252" s="34" t="s">
        <v>156</v>
      </c>
      <c r="D252" s="35"/>
      <c r="E252" s="20">
        <f>E253+E256</f>
        <v>16644.7</v>
      </c>
      <c r="F252" s="20">
        <f>F253+F256</f>
        <v>18941.600000000002</v>
      </c>
      <c r="G252" s="20">
        <f>G253+G256</f>
        <v>19091.3</v>
      </c>
    </row>
    <row r="253" spans="1:7" ht="30" x14ac:dyDescent="0.25">
      <c r="A253" s="46" t="s">
        <v>273</v>
      </c>
      <c r="B253" s="34" t="s">
        <v>154</v>
      </c>
      <c r="C253" s="34" t="s">
        <v>274</v>
      </c>
      <c r="D253" s="35"/>
      <c r="E253" s="20">
        <f>SUM(E254)</f>
        <v>15395.7</v>
      </c>
      <c r="F253" s="20">
        <f t="shared" ref="F253:G253" si="40">SUM(F254)</f>
        <v>17808.400000000001</v>
      </c>
      <c r="G253" s="20">
        <f t="shared" si="40"/>
        <v>17951.099999999999</v>
      </c>
    </row>
    <row r="254" spans="1:7" ht="45" x14ac:dyDescent="0.25">
      <c r="A254" s="33" t="s">
        <v>275</v>
      </c>
      <c r="B254" s="34" t="s">
        <v>154</v>
      </c>
      <c r="C254" s="34" t="s">
        <v>276</v>
      </c>
      <c r="D254" s="35"/>
      <c r="E254" s="20">
        <f>SUM(E255)</f>
        <v>15395.7</v>
      </c>
      <c r="F254" s="20">
        <f>SUM(F255)</f>
        <v>17808.400000000001</v>
      </c>
      <c r="G254" s="20">
        <f>SUM(G255)</f>
        <v>17951.099999999999</v>
      </c>
    </row>
    <row r="255" spans="1:7" x14ac:dyDescent="0.25">
      <c r="A255" s="38" t="s">
        <v>22</v>
      </c>
      <c r="B255" s="34" t="s">
        <v>154</v>
      </c>
      <c r="C255" s="34" t="s">
        <v>276</v>
      </c>
      <c r="D255" s="35">
        <v>800</v>
      </c>
      <c r="E255" s="31">
        <v>15395.7</v>
      </c>
      <c r="F255" s="31">
        <v>17808.400000000001</v>
      </c>
      <c r="G255" s="31">
        <v>17951.099999999999</v>
      </c>
    </row>
    <row r="256" spans="1:7" ht="45" x14ac:dyDescent="0.25">
      <c r="A256" s="33" t="s">
        <v>157</v>
      </c>
      <c r="B256" s="37" t="s">
        <v>154</v>
      </c>
      <c r="C256" s="37" t="s">
        <v>158</v>
      </c>
      <c r="D256" s="45"/>
      <c r="E256" s="31">
        <f>E257+E259</f>
        <v>1249</v>
      </c>
      <c r="F256" s="31">
        <f>F257+F259</f>
        <v>1133.2</v>
      </c>
      <c r="G256" s="31">
        <f>G257+G259</f>
        <v>1140.2</v>
      </c>
    </row>
    <row r="257" spans="1:7" ht="45" x14ac:dyDescent="0.25">
      <c r="A257" s="38" t="s">
        <v>159</v>
      </c>
      <c r="B257" s="37" t="s">
        <v>154</v>
      </c>
      <c r="C257" s="37" t="s">
        <v>160</v>
      </c>
      <c r="D257" s="45"/>
      <c r="E257" s="31">
        <f>E258</f>
        <v>144.69999999999999</v>
      </c>
      <c r="F257" s="31">
        <f>F258</f>
        <v>263.2</v>
      </c>
      <c r="G257" s="31">
        <f>G258</f>
        <v>270.2</v>
      </c>
    </row>
    <row r="258" spans="1:7" ht="30" x14ac:dyDescent="0.25">
      <c r="A258" s="1" t="s">
        <v>21</v>
      </c>
      <c r="B258" s="37" t="s">
        <v>154</v>
      </c>
      <c r="C258" s="37" t="s">
        <v>160</v>
      </c>
      <c r="D258" s="45">
        <v>200</v>
      </c>
      <c r="E258" s="31">
        <v>144.69999999999999</v>
      </c>
      <c r="F258" s="31">
        <v>263.2</v>
      </c>
      <c r="G258" s="31">
        <v>270.2</v>
      </c>
    </row>
    <row r="259" spans="1:7" ht="30" x14ac:dyDescent="0.25">
      <c r="A259" s="38" t="s">
        <v>277</v>
      </c>
      <c r="B259" s="37" t="s">
        <v>154</v>
      </c>
      <c r="C259" s="37" t="s">
        <v>278</v>
      </c>
      <c r="D259" s="45"/>
      <c r="E259" s="31">
        <f>E260</f>
        <v>1104.3</v>
      </c>
      <c r="F259" s="31">
        <f>F260</f>
        <v>870</v>
      </c>
      <c r="G259" s="31">
        <f>G260</f>
        <v>870</v>
      </c>
    </row>
    <row r="260" spans="1:7" ht="30" x14ac:dyDescent="0.25">
      <c r="A260" s="1" t="s">
        <v>21</v>
      </c>
      <c r="B260" s="37" t="s">
        <v>154</v>
      </c>
      <c r="C260" s="37" t="s">
        <v>278</v>
      </c>
      <c r="D260" s="45">
        <v>200</v>
      </c>
      <c r="E260" s="31">
        <v>1104.3</v>
      </c>
      <c r="F260" s="31">
        <v>870</v>
      </c>
      <c r="G260" s="31">
        <v>870</v>
      </c>
    </row>
    <row r="261" spans="1:7" ht="30" x14ac:dyDescent="0.25">
      <c r="A261" s="36" t="s">
        <v>161</v>
      </c>
      <c r="B261" s="34" t="s">
        <v>154</v>
      </c>
      <c r="C261" s="34" t="s">
        <v>162</v>
      </c>
      <c r="D261" s="35"/>
      <c r="E261" s="20">
        <f>E262</f>
        <v>10961.9</v>
      </c>
      <c r="F261" s="20">
        <f>F262</f>
        <v>15211.2</v>
      </c>
      <c r="G261" s="20">
        <f>G262</f>
        <v>15257.800000000001</v>
      </c>
    </row>
    <row r="262" spans="1:7" ht="30" x14ac:dyDescent="0.25">
      <c r="A262" s="36" t="s">
        <v>163</v>
      </c>
      <c r="B262" s="34" t="s">
        <v>154</v>
      </c>
      <c r="C262" s="34" t="s">
        <v>164</v>
      </c>
      <c r="D262" s="35"/>
      <c r="E262" s="20">
        <f>E263+E265</f>
        <v>10961.9</v>
      </c>
      <c r="F262" s="20">
        <f>F263+F265</f>
        <v>15211.2</v>
      </c>
      <c r="G262" s="20">
        <f>G263+G265</f>
        <v>15257.800000000001</v>
      </c>
    </row>
    <row r="263" spans="1:7" x14ac:dyDescent="0.25">
      <c r="A263" s="36" t="s">
        <v>165</v>
      </c>
      <c r="B263" s="34" t="s">
        <v>154</v>
      </c>
      <c r="C263" s="34" t="s">
        <v>166</v>
      </c>
      <c r="D263" s="35"/>
      <c r="E263" s="20">
        <f>SUM(E264)</f>
        <v>961.9</v>
      </c>
      <c r="F263" s="20">
        <f>SUM(F264)</f>
        <v>1749.6</v>
      </c>
      <c r="G263" s="20">
        <f>SUM(G264)</f>
        <v>1796.2</v>
      </c>
    </row>
    <row r="264" spans="1:7" ht="30" x14ac:dyDescent="0.25">
      <c r="A264" s="1" t="s">
        <v>21</v>
      </c>
      <c r="B264" s="34" t="s">
        <v>154</v>
      </c>
      <c r="C264" s="34" t="s">
        <v>166</v>
      </c>
      <c r="D264" s="35">
        <v>200</v>
      </c>
      <c r="E264" s="31">
        <v>961.9</v>
      </c>
      <c r="F264" s="31">
        <v>1749.6</v>
      </c>
      <c r="G264" s="31">
        <v>1796.2</v>
      </c>
    </row>
    <row r="265" spans="1:7" ht="45" x14ac:dyDescent="0.25">
      <c r="A265" s="36" t="s">
        <v>446</v>
      </c>
      <c r="B265" s="34" t="s">
        <v>154</v>
      </c>
      <c r="C265" s="34" t="s">
        <v>447</v>
      </c>
      <c r="D265" s="35"/>
      <c r="E265" s="20">
        <f>SUM(E266)</f>
        <v>10000</v>
      </c>
      <c r="F265" s="20">
        <f>SUM(F266)</f>
        <v>13461.6</v>
      </c>
      <c r="G265" s="20">
        <f>SUM(G266)</f>
        <v>13461.6</v>
      </c>
    </row>
    <row r="266" spans="1:7" ht="30" x14ac:dyDescent="0.25">
      <c r="A266" s="1" t="s">
        <v>21</v>
      </c>
      <c r="B266" s="34" t="s">
        <v>154</v>
      </c>
      <c r="C266" s="34" t="s">
        <v>447</v>
      </c>
      <c r="D266" s="35">
        <v>200</v>
      </c>
      <c r="E266" s="31">
        <f>7432.6+2567.4</f>
        <v>10000</v>
      </c>
      <c r="F266" s="31">
        <v>13461.6</v>
      </c>
      <c r="G266" s="31">
        <v>13461.6</v>
      </c>
    </row>
    <row r="267" spans="1:7" x14ac:dyDescent="0.25">
      <c r="A267" s="41" t="s">
        <v>167</v>
      </c>
      <c r="B267" s="42" t="s">
        <v>168</v>
      </c>
      <c r="C267" s="42"/>
      <c r="D267" s="43"/>
      <c r="E267" s="14">
        <f>SUM(E273)+E268</f>
        <v>131137.9</v>
      </c>
      <c r="F267" s="14">
        <f>SUM(F273)+F268</f>
        <v>18038.5</v>
      </c>
      <c r="G267" s="14">
        <f>SUM(G273)+G268</f>
        <v>28214</v>
      </c>
    </row>
    <row r="268" spans="1:7" x14ac:dyDescent="0.25">
      <c r="A268" s="1" t="s">
        <v>10</v>
      </c>
      <c r="B268" s="34" t="s">
        <v>168</v>
      </c>
      <c r="C268" s="18" t="s">
        <v>11</v>
      </c>
      <c r="D268" s="35"/>
      <c r="E268" s="20">
        <f t="shared" ref="E268:G269" si="41">SUM(E269)</f>
        <v>60791.299999999996</v>
      </c>
      <c r="F268" s="20">
        <f t="shared" si="41"/>
        <v>11445.2</v>
      </c>
      <c r="G268" s="20">
        <f t="shared" si="41"/>
        <v>11445.2</v>
      </c>
    </row>
    <row r="269" spans="1:7" x14ac:dyDescent="0.25">
      <c r="A269" s="22" t="s">
        <v>44</v>
      </c>
      <c r="B269" s="37" t="s">
        <v>168</v>
      </c>
      <c r="C269" s="37" t="s">
        <v>45</v>
      </c>
      <c r="D269" s="45"/>
      <c r="E269" s="20">
        <f t="shared" si="41"/>
        <v>60791.299999999996</v>
      </c>
      <c r="F269" s="20">
        <f t="shared" si="41"/>
        <v>11445.2</v>
      </c>
      <c r="G269" s="20">
        <f t="shared" si="41"/>
        <v>11445.2</v>
      </c>
    </row>
    <row r="270" spans="1:7" ht="150" x14ac:dyDescent="0.25">
      <c r="A270" s="38" t="s">
        <v>494</v>
      </c>
      <c r="B270" s="37" t="s">
        <v>168</v>
      </c>
      <c r="C270" s="37" t="s">
        <v>279</v>
      </c>
      <c r="D270" s="45"/>
      <c r="E270" s="20">
        <f>E271+E272</f>
        <v>60791.299999999996</v>
      </c>
      <c r="F270" s="20">
        <f>F271+F272</f>
        <v>11445.2</v>
      </c>
      <c r="G270" s="20">
        <f>G271+G272</f>
        <v>11445.2</v>
      </c>
    </row>
    <row r="271" spans="1:7" ht="30" x14ac:dyDescent="0.25">
      <c r="A271" s="1" t="s">
        <v>21</v>
      </c>
      <c r="B271" s="34" t="s">
        <v>168</v>
      </c>
      <c r="C271" s="34" t="s">
        <v>279</v>
      </c>
      <c r="D271" s="35">
        <v>200</v>
      </c>
      <c r="E271" s="20">
        <v>41.7</v>
      </c>
      <c r="F271" s="20">
        <v>41.7</v>
      </c>
      <c r="G271" s="20">
        <v>41.7</v>
      </c>
    </row>
    <row r="272" spans="1:7" x14ac:dyDescent="0.25">
      <c r="A272" s="38" t="s">
        <v>22</v>
      </c>
      <c r="B272" s="37" t="s">
        <v>168</v>
      </c>
      <c r="C272" s="37" t="s">
        <v>279</v>
      </c>
      <c r="D272" s="45">
        <v>800</v>
      </c>
      <c r="E272" s="20">
        <f>11403.5+49346.1</f>
        <v>60749.599999999999</v>
      </c>
      <c r="F272" s="20">
        <v>11403.5</v>
      </c>
      <c r="G272" s="20">
        <v>11403.5</v>
      </c>
    </row>
    <row r="273" spans="1:7" ht="60" x14ac:dyDescent="0.25">
      <c r="A273" s="50" t="s">
        <v>169</v>
      </c>
      <c r="B273" s="34" t="s">
        <v>168</v>
      </c>
      <c r="C273" s="34" t="s">
        <v>108</v>
      </c>
      <c r="D273" s="35"/>
      <c r="E273" s="20">
        <f>SUM(E274)</f>
        <v>70346.599999999991</v>
      </c>
      <c r="F273" s="20">
        <f>SUM(F274)</f>
        <v>6593.3</v>
      </c>
      <c r="G273" s="20">
        <f>SUM(G274)</f>
        <v>16768.8</v>
      </c>
    </row>
    <row r="274" spans="1:7" ht="45" x14ac:dyDescent="0.25">
      <c r="A274" s="50" t="s">
        <v>155</v>
      </c>
      <c r="B274" s="34" t="s">
        <v>168</v>
      </c>
      <c r="C274" s="34" t="s">
        <v>156</v>
      </c>
      <c r="D274" s="35"/>
      <c r="E274" s="20">
        <f>SUM(E275)+E288</f>
        <v>70346.599999999991</v>
      </c>
      <c r="F274" s="20">
        <f>SUM(F275)+F288</f>
        <v>6593.3</v>
      </c>
      <c r="G274" s="20">
        <f>SUM(G275)+G288</f>
        <v>16768.8</v>
      </c>
    </row>
    <row r="275" spans="1:7" ht="30" x14ac:dyDescent="0.25">
      <c r="A275" s="50" t="s">
        <v>170</v>
      </c>
      <c r="B275" s="34" t="s">
        <v>168</v>
      </c>
      <c r="C275" s="34" t="s">
        <v>171</v>
      </c>
      <c r="D275" s="35"/>
      <c r="E275" s="20">
        <f>SUM(E280+E282+E284)+E278+E286+E276</f>
        <v>64663.7</v>
      </c>
      <c r="F275" s="20">
        <f t="shared" ref="F275:G275" si="42">SUM(F280+F282+F284)+F278+F286+F276</f>
        <v>0</v>
      </c>
      <c r="G275" s="20">
        <f t="shared" si="42"/>
        <v>10000</v>
      </c>
    </row>
    <row r="276" spans="1:7" ht="90" x14ac:dyDescent="0.25">
      <c r="A276" s="124" t="s">
        <v>559</v>
      </c>
      <c r="B276" s="34" t="s">
        <v>168</v>
      </c>
      <c r="C276" s="34" t="s">
        <v>560</v>
      </c>
      <c r="D276" s="35"/>
      <c r="E276" s="20">
        <f>E277</f>
        <v>3040.2</v>
      </c>
      <c r="F276" s="20">
        <f t="shared" ref="F276:G276" si="43">F277</f>
        <v>0</v>
      </c>
      <c r="G276" s="20">
        <f t="shared" si="43"/>
        <v>0</v>
      </c>
    </row>
    <row r="277" spans="1:7" ht="30" x14ac:dyDescent="0.25">
      <c r="A277" s="104" t="s">
        <v>21</v>
      </c>
      <c r="B277" s="34" t="s">
        <v>168</v>
      </c>
      <c r="C277" s="34" t="s">
        <v>560</v>
      </c>
      <c r="D277" s="35">
        <v>200</v>
      </c>
      <c r="E277" s="20">
        <v>3040.2</v>
      </c>
      <c r="F277" s="20">
        <v>0</v>
      </c>
      <c r="G277" s="20">
        <v>0</v>
      </c>
    </row>
    <row r="278" spans="1:7" ht="30" x14ac:dyDescent="0.25">
      <c r="A278" s="46" t="s">
        <v>476</v>
      </c>
      <c r="B278" s="37" t="s">
        <v>168</v>
      </c>
      <c r="C278" s="37" t="s">
        <v>475</v>
      </c>
      <c r="D278" s="45"/>
      <c r="E278" s="20">
        <f>E279</f>
        <v>3968.3</v>
      </c>
      <c r="F278" s="20">
        <f>F279</f>
        <v>0</v>
      </c>
      <c r="G278" s="20">
        <f>G279</f>
        <v>0</v>
      </c>
    </row>
    <row r="279" spans="1:7" ht="30" x14ac:dyDescent="0.25">
      <c r="A279" s="1" t="s">
        <v>21</v>
      </c>
      <c r="B279" s="37" t="s">
        <v>168</v>
      </c>
      <c r="C279" s="37" t="s">
        <v>475</v>
      </c>
      <c r="D279" s="45">
        <v>200</v>
      </c>
      <c r="E279" s="31">
        <v>3968.3</v>
      </c>
      <c r="F279" s="20">
        <f>2100+6817.5-6242.3-2675.2</f>
        <v>0</v>
      </c>
      <c r="G279" s="20">
        <f>2100+6817.5-6242.3-2675.2</f>
        <v>0</v>
      </c>
    </row>
    <row r="280" spans="1:7" ht="30" x14ac:dyDescent="0.25">
      <c r="A280" s="100" t="s">
        <v>491</v>
      </c>
      <c r="B280" s="101" t="s">
        <v>168</v>
      </c>
      <c r="C280" s="101" t="s">
        <v>492</v>
      </c>
      <c r="D280" s="102"/>
      <c r="E280" s="20">
        <f>SUM(E281)</f>
        <v>984.5</v>
      </c>
      <c r="F280" s="20">
        <f>SUM(F281)</f>
        <v>0</v>
      </c>
      <c r="G280" s="20">
        <f>SUM(G281)</f>
        <v>0</v>
      </c>
    </row>
    <row r="281" spans="1:7" ht="30" x14ac:dyDescent="0.25">
      <c r="A281" s="1" t="s">
        <v>21</v>
      </c>
      <c r="B281" s="101" t="s">
        <v>168</v>
      </c>
      <c r="C281" s="101" t="s">
        <v>492</v>
      </c>
      <c r="D281" s="102">
        <v>200</v>
      </c>
      <c r="E281" s="31">
        <f>651.9+332.6</f>
        <v>984.5</v>
      </c>
      <c r="F281" s="20">
        <v>0</v>
      </c>
      <c r="G281" s="20">
        <v>0</v>
      </c>
    </row>
    <row r="282" spans="1:7" ht="30" x14ac:dyDescent="0.25">
      <c r="A282" s="38" t="s">
        <v>471</v>
      </c>
      <c r="B282" s="37" t="s">
        <v>168</v>
      </c>
      <c r="C282" s="37" t="s">
        <v>172</v>
      </c>
      <c r="D282" s="45"/>
      <c r="E282" s="31">
        <f>E283</f>
        <v>53270.7</v>
      </c>
      <c r="F282" s="31">
        <f>F283</f>
        <v>0</v>
      </c>
      <c r="G282" s="31">
        <f>G283</f>
        <v>0</v>
      </c>
    </row>
    <row r="283" spans="1:7" ht="30" x14ac:dyDescent="0.25">
      <c r="A283" s="38" t="s">
        <v>87</v>
      </c>
      <c r="B283" s="37" t="s">
        <v>168</v>
      </c>
      <c r="C283" s="37" t="s">
        <v>172</v>
      </c>
      <c r="D283" s="45">
        <v>400</v>
      </c>
      <c r="E283" s="31">
        <f>45100-21464.3+9674.3+19960.7</f>
        <v>53270.7</v>
      </c>
      <c r="F283" s="31">
        <v>0</v>
      </c>
      <c r="G283" s="31">
        <v>0</v>
      </c>
    </row>
    <row r="284" spans="1:7" x14ac:dyDescent="0.25">
      <c r="A284" s="116" t="s">
        <v>508</v>
      </c>
      <c r="B284" s="34" t="s">
        <v>168</v>
      </c>
      <c r="C284" s="34" t="s">
        <v>509</v>
      </c>
      <c r="D284" s="35"/>
      <c r="E284" s="31">
        <f>SUM(E285)</f>
        <v>400</v>
      </c>
      <c r="F284" s="31">
        <f>SUM(F285)</f>
        <v>0</v>
      </c>
      <c r="G284" s="31">
        <f>SUM(G285)</f>
        <v>0</v>
      </c>
    </row>
    <row r="285" spans="1:7" ht="30" x14ac:dyDescent="0.25">
      <c r="A285" s="49" t="s">
        <v>87</v>
      </c>
      <c r="B285" s="34" t="s">
        <v>168</v>
      </c>
      <c r="C285" s="34" t="s">
        <v>509</v>
      </c>
      <c r="D285" s="35">
        <v>400</v>
      </c>
      <c r="E285" s="31">
        <v>400</v>
      </c>
      <c r="F285" s="31">
        <v>0</v>
      </c>
      <c r="G285" s="31">
        <v>0</v>
      </c>
    </row>
    <row r="286" spans="1:7" ht="35.25" customHeight="1" x14ac:dyDescent="0.25">
      <c r="A286" s="124" t="s">
        <v>534</v>
      </c>
      <c r="B286" s="34" t="s">
        <v>168</v>
      </c>
      <c r="C286" s="34" t="s">
        <v>510</v>
      </c>
      <c r="D286" s="35"/>
      <c r="E286" s="31">
        <f>SUM(E287)</f>
        <v>3000</v>
      </c>
      <c r="F286" s="31">
        <f>SUM(F287)</f>
        <v>0</v>
      </c>
      <c r="G286" s="31">
        <f>SUM(G287)</f>
        <v>10000</v>
      </c>
    </row>
    <row r="287" spans="1:7" ht="30" x14ac:dyDescent="0.25">
      <c r="A287" s="49" t="s">
        <v>87</v>
      </c>
      <c r="B287" s="34" t="s">
        <v>168</v>
      </c>
      <c r="C287" s="34" t="s">
        <v>510</v>
      </c>
      <c r="D287" s="35">
        <v>400</v>
      </c>
      <c r="E287" s="31">
        <v>3000</v>
      </c>
      <c r="F287" s="31">
        <f>20000-20000</f>
        <v>0</v>
      </c>
      <c r="G287" s="31">
        <v>10000</v>
      </c>
    </row>
    <row r="288" spans="1:7" ht="30" x14ac:dyDescent="0.25">
      <c r="A288" s="50" t="s">
        <v>273</v>
      </c>
      <c r="B288" s="34" t="s">
        <v>168</v>
      </c>
      <c r="C288" s="34" t="s">
        <v>274</v>
      </c>
      <c r="D288" s="35"/>
      <c r="E288" s="20">
        <f t="shared" ref="E288:G289" si="44">SUM(E289)</f>
        <v>5682.9</v>
      </c>
      <c r="F288" s="20">
        <f t="shared" si="44"/>
        <v>6593.3</v>
      </c>
      <c r="G288" s="20">
        <f t="shared" si="44"/>
        <v>6768.8</v>
      </c>
    </row>
    <row r="289" spans="1:7" ht="30" x14ac:dyDescent="0.25">
      <c r="A289" s="48" t="s">
        <v>280</v>
      </c>
      <c r="B289" s="34" t="s">
        <v>168</v>
      </c>
      <c r="C289" s="34" t="s">
        <v>281</v>
      </c>
      <c r="D289" s="35"/>
      <c r="E289" s="20">
        <f t="shared" si="44"/>
        <v>5682.9</v>
      </c>
      <c r="F289" s="20">
        <f t="shared" si="44"/>
        <v>6593.3</v>
      </c>
      <c r="G289" s="20">
        <f t="shared" si="44"/>
        <v>6768.8</v>
      </c>
    </row>
    <row r="290" spans="1:7" x14ac:dyDescent="0.25">
      <c r="A290" s="36" t="s">
        <v>22</v>
      </c>
      <c r="B290" s="34" t="s">
        <v>168</v>
      </c>
      <c r="C290" s="34" t="s">
        <v>281</v>
      </c>
      <c r="D290" s="35">
        <v>800</v>
      </c>
      <c r="E290" s="31">
        <v>5682.9</v>
      </c>
      <c r="F290" s="31">
        <v>6593.3</v>
      </c>
      <c r="G290" s="31">
        <v>6768.8</v>
      </c>
    </row>
    <row r="291" spans="1:7" x14ac:dyDescent="0.25">
      <c r="A291" s="41" t="s">
        <v>282</v>
      </c>
      <c r="B291" s="42" t="s">
        <v>283</v>
      </c>
      <c r="C291" s="42"/>
      <c r="D291" s="43"/>
      <c r="E291" s="14">
        <f>E292+E309+E314</f>
        <v>366654.9</v>
      </c>
      <c r="F291" s="14">
        <f>F292+F309+F314</f>
        <v>255059.6</v>
      </c>
      <c r="G291" s="14">
        <f>G292+G309+G314</f>
        <v>258683.4</v>
      </c>
    </row>
    <row r="292" spans="1:7" ht="60" x14ac:dyDescent="0.25">
      <c r="A292" s="33" t="s">
        <v>272</v>
      </c>
      <c r="B292" s="34" t="s">
        <v>283</v>
      </c>
      <c r="C292" s="37" t="s">
        <v>108</v>
      </c>
      <c r="D292" s="45"/>
      <c r="E292" s="20">
        <f t="shared" ref="E292:G293" si="45">SUM(E293)</f>
        <v>266180.3</v>
      </c>
      <c r="F292" s="20">
        <f t="shared" si="45"/>
        <v>237763.7</v>
      </c>
      <c r="G292" s="20">
        <f t="shared" si="45"/>
        <v>241387.5</v>
      </c>
    </row>
    <row r="293" spans="1:7" x14ac:dyDescent="0.25">
      <c r="A293" s="33" t="s">
        <v>109</v>
      </c>
      <c r="B293" s="34" t="s">
        <v>283</v>
      </c>
      <c r="C293" s="37" t="s">
        <v>110</v>
      </c>
      <c r="D293" s="45"/>
      <c r="E293" s="20">
        <f t="shared" si="45"/>
        <v>266180.3</v>
      </c>
      <c r="F293" s="20">
        <f t="shared" si="45"/>
        <v>237763.7</v>
      </c>
      <c r="G293" s="20">
        <f t="shared" si="45"/>
        <v>241387.5</v>
      </c>
    </row>
    <row r="294" spans="1:7" ht="30" x14ac:dyDescent="0.25">
      <c r="A294" s="33" t="s">
        <v>111</v>
      </c>
      <c r="B294" s="34" t="s">
        <v>283</v>
      </c>
      <c r="C294" s="37" t="s">
        <v>112</v>
      </c>
      <c r="D294" s="45"/>
      <c r="E294" s="20">
        <f>SUM(E299+E301+E303+E305+E307)+E295+E297</f>
        <v>266180.3</v>
      </c>
      <c r="F294" s="20">
        <f>SUM(F299+F301+F303+F305+F307)+F295</f>
        <v>237763.7</v>
      </c>
      <c r="G294" s="20">
        <f>SUM(G299+G301+G303+G305+G307)+G295</f>
        <v>241387.5</v>
      </c>
    </row>
    <row r="295" spans="1:7" x14ac:dyDescent="0.25">
      <c r="A295" s="105" t="s">
        <v>498</v>
      </c>
      <c r="B295" s="101" t="s">
        <v>283</v>
      </c>
      <c r="C295" s="101" t="s">
        <v>499</v>
      </c>
      <c r="D295" s="102"/>
      <c r="E295" s="20">
        <f>E296</f>
        <v>8500</v>
      </c>
      <c r="F295" s="20">
        <f>F296</f>
        <v>0</v>
      </c>
      <c r="G295" s="20">
        <f>G296</f>
        <v>0</v>
      </c>
    </row>
    <row r="296" spans="1:7" ht="30" x14ac:dyDescent="0.25">
      <c r="A296" s="49" t="s">
        <v>87</v>
      </c>
      <c r="B296" s="101" t="s">
        <v>283</v>
      </c>
      <c r="C296" s="101" t="s">
        <v>499</v>
      </c>
      <c r="D296" s="102">
        <v>400</v>
      </c>
      <c r="E296" s="20">
        <f>6000+2500</f>
        <v>8500</v>
      </c>
      <c r="F296" s="20">
        <v>0</v>
      </c>
      <c r="G296" s="20">
        <v>0</v>
      </c>
    </row>
    <row r="297" spans="1:7" ht="60" x14ac:dyDescent="0.25">
      <c r="A297" s="103" t="s">
        <v>542</v>
      </c>
      <c r="B297" s="101" t="s">
        <v>283</v>
      </c>
      <c r="C297" s="101" t="s">
        <v>543</v>
      </c>
      <c r="D297" s="102"/>
      <c r="E297" s="20">
        <f>E298</f>
        <v>11168.4</v>
      </c>
      <c r="F297" s="20">
        <f t="shared" ref="F297:G297" si="46">F298</f>
        <v>0</v>
      </c>
      <c r="G297" s="20">
        <f t="shared" si="46"/>
        <v>0</v>
      </c>
    </row>
    <row r="298" spans="1:7" ht="30" x14ac:dyDescent="0.25">
      <c r="A298" s="104" t="s">
        <v>21</v>
      </c>
      <c r="B298" s="101" t="s">
        <v>283</v>
      </c>
      <c r="C298" s="101" t="s">
        <v>543</v>
      </c>
      <c r="D298" s="102">
        <v>200</v>
      </c>
      <c r="E298" s="20">
        <f>3700+7468.4-3700-7468.4+11168.4</f>
        <v>11168.4</v>
      </c>
      <c r="F298" s="20">
        <v>0</v>
      </c>
      <c r="G298" s="20">
        <v>0</v>
      </c>
    </row>
    <row r="299" spans="1:7" x14ac:dyDescent="0.25">
      <c r="A299" s="46" t="s">
        <v>284</v>
      </c>
      <c r="B299" s="34" t="s">
        <v>283</v>
      </c>
      <c r="C299" s="37" t="s">
        <v>285</v>
      </c>
      <c r="D299" s="45"/>
      <c r="E299" s="31">
        <f>SUM(E300)</f>
        <v>76853</v>
      </c>
      <c r="F299" s="31">
        <f>SUM(F300)</f>
        <v>79981.2</v>
      </c>
      <c r="G299" s="31">
        <f>SUM(G300)</f>
        <v>83232.399999999994</v>
      </c>
    </row>
    <row r="300" spans="1:7" ht="30" x14ac:dyDescent="0.25">
      <c r="A300" s="1" t="s">
        <v>21</v>
      </c>
      <c r="B300" s="34" t="s">
        <v>283</v>
      </c>
      <c r="C300" s="37" t="s">
        <v>285</v>
      </c>
      <c r="D300" s="45">
        <v>200</v>
      </c>
      <c r="E300" s="31">
        <f>86853-10000</f>
        <v>76853</v>
      </c>
      <c r="F300" s="31">
        <v>79981.2</v>
      </c>
      <c r="G300" s="31">
        <v>83232.399999999994</v>
      </c>
    </row>
    <row r="301" spans="1:7" x14ac:dyDescent="0.25">
      <c r="A301" s="48" t="s">
        <v>286</v>
      </c>
      <c r="B301" s="34" t="s">
        <v>283</v>
      </c>
      <c r="C301" s="34" t="s">
        <v>287</v>
      </c>
      <c r="D301" s="35"/>
      <c r="E301" s="20">
        <f>SUM(E302)</f>
        <v>10692.1</v>
      </c>
      <c r="F301" s="20">
        <f>SUM(F302)</f>
        <v>13991.6</v>
      </c>
      <c r="G301" s="20">
        <f>SUM(G302)</f>
        <v>14364.2</v>
      </c>
    </row>
    <row r="302" spans="1:7" ht="30" x14ac:dyDescent="0.25">
      <c r="A302" s="1" t="s">
        <v>21</v>
      </c>
      <c r="B302" s="34" t="s">
        <v>283</v>
      </c>
      <c r="C302" s="34" t="s">
        <v>287</v>
      </c>
      <c r="D302" s="35">
        <v>200</v>
      </c>
      <c r="E302" s="31">
        <f>7692.1+3000</f>
        <v>10692.1</v>
      </c>
      <c r="F302" s="31">
        <v>13991.6</v>
      </c>
      <c r="G302" s="31">
        <v>14364.2</v>
      </c>
    </row>
    <row r="303" spans="1:7" ht="90" x14ac:dyDescent="0.25">
      <c r="A303" s="47" t="s">
        <v>288</v>
      </c>
      <c r="B303" s="34" t="s">
        <v>283</v>
      </c>
      <c r="C303" s="34" t="s">
        <v>289</v>
      </c>
      <c r="D303" s="35"/>
      <c r="E303" s="20">
        <f>SUM(E304)</f>
        <v>72373.399999999994</v>
      </c>
      <c r="F303" s="20">
        <f>SUM(F304)</f>
        <v>72373.399999999994</v>
      </c>
      <c r="G303" s="20">
        <f>SUM(G304)</f>
        <v>72373.399999999994</v>
      </c>
    </row>
    <row r="304" spans="1:7" x14ac:dyDescent="0.25">
      <c r="A304" s="38" t="s">
        <v>22</v>
      </c>
      <c r="B304" s="34" t="s">
        <v>283</v>
      </c>
      <c r="C304" s="34" t="s">
        <v>289</v>
      </c>
      <c r="D304" s="35">
        <v>800</v>
      </c>
      <c r="E304" s="31">
        <v>72373.399999999994</v>
      </c>
      <c r="F304" s="31">
        <v>72373.399999999994</v>
      </c>
      <c r="G304" s="31">
        <v>72373.399999999994</v>
      </c>
    </row>
    <row r="305" spans="1:7" ht="45" x14ac:dyDescent="0.25">
      <c r="A305" s="33" t="s">
        <v>290</v>
      </c>
      <c r="B305" s="34" t="s">
        <v>283</v>
      </c>
      <c r="C305" s="34" t="s">
        <v>291</v>
      </c>
      <c r="D305" s="35"/>
      <c r="E305" s="20">
        <f>SUM(E306)</f>
        <v>53425.9</v>
      </c>
      <c r="F305" s="20">
        <f>SUM(F306)</f>
        <v>38750</v>
      </c>
      <c r="G305" s="20">
        <f>SUM(G306)</f>
        <v>38750</v>
      </c>
    </row>
    <row r="306" spans="1:7" x14ac:dyDescent="0.25">
      <c r="A306" s="38" t="s">
        <v>22</v>
      </c>
      <c r="B306" s="34" t="s">
        <v>283</v>
      </c>
      <c r="C306" s="34" t="s">
        <v>291</v>
      </c>
      <c r="D306" s="35">
        <v>800</v>
      </c>
      <c r="E306" s="31">
        <f>38750+500+14175.9</f>
        <v>53425.9</v>
      </c>
      <c r="F306" s="31">
        <v>38750</v>
      </c>
      <c r="G306" s="31">
        <v>38750</v>
      </c>
    </row>
    <row r="307" spans="1:7" ht="45" x14ac:dyDescent="0.25">
      <c r="A307" s="33" t="s">
        <v>292</v>
      </c>
      <c r="B307" s="34" t="s">
        <v>283</v>
      </c>
      <c r="C307" s="37" t="s">
        <v>293</v>
      </c>
      <c r="D307" s="35"/>
      <c r="E307" s="20">
        <f>SUM(E308)</f>
        <v>33167.5</v>
      </c>
      <c r="F307" s="20">
        <f>SUM(F308)</f>
        <v>32667.5</v>
      </c>
      <c r="G307" s="20">
        <f>SUM(G308)</f>
        <v>32667.5</v>
      </c>
    </row>
    <row r="308" spans="1:7" x14ac:dyDescent="0.25">
      <c r="A308" s="38" t="s">
        <v>22</v>
      </c>
      <c r="B308" s="34" t="s">
        <v>283</v>
      </c>
      <c r="C308" s="37" t="s">
        <v>293</v>
      </c>
      <c r="D308" s="35">
        <v>800</v>
      </c>
      <c r="E308" s="31">
        <f>32667.5+500</f>
        <v>33167.5</v>
      </c>
      <c r="F308" s="31">
        <v>32667.5</v>
      </c>
      <c r="G308" s="31">
        <v>32667.5</v>
      </c>
    </row>
    <row r="309" spans="1:7" ht="45" x14ac:dyDescent="0.25">
      <c r="A309" s="48" t="s">
        <v>79</v>
      </c>
      <c r="B309" s="34" t="s">
        <v>283</v>
      </c>
      <c r="C309" s="34" t="s">
        <v>80</v>
      </c>
      <c r="D309" s="35"/>
      <c r="E309" s="20">
        <f t="shared" ref="E309:G310" si="47">SUM(E310)</f>
        <v>0</v>
      </c>
      <c r="F309" s="20">
        <f t="shared" si="47"/>
        <v>14175.9</v>
      </c>
      <c r="G309" s="20">
        <f t="shared" si="47"/>
        <v>14175.9</v>
      </c>
    </row>
    <row r="310" spans="1:7" ht="30" x14ac:dyDescent="0.25">
      <c r="A310" s="33" t="s">
        <v>81</v>
      </c>
      <c r="B310" s="34" t="s">
        <v>283</v>
      </c>
      <c r="C310" s="37" t="s">
        <v>82</v>
      </c>
      <c r="D310" s="45"/>
      <c r="E310" s="20">
        <f t="shared" si="47"/>
        <v>0</v>
      </c>
      <c r="F310" s="20">
        <f t="shared" si="47"/>
        <v>14175.9</v>
      </c>
      <c r="G310" s="20">
        <f t="shared" si="47"/>
        <v>14175.9</v>
      </c>
    </row>
    <row r="311" spans="1:7" ht="30" x14ac:dyDescent="0.25">
      <c r="A311" s="33" t="s">
        <v>83</v>
      </c>
      <c r="B311" s="34" t="s">
        <v>283</v>
      </c>
      <c r="C311" s="37" t="s">
        <v>84</v>
      </c>
      <c r="D311" s="45"/>
      <c r="E311" s="20">
        <f>SUM(E312)</f>
        <v>0</v>
      </c>
      <c r="F311" s="20">
        <f t="shared" ref="F311:G311" si="48">SUM(F312)</f>
        <v>14175.9</v>
      </c>
      <c r="G311" s="20">
        <f t="shared" si="48"/>
        <v>14175.9</v>
      </c>
    </row>
    <row r="312" spans="1:7" ht="45" x14ac:dyDescent="0.25">
      <c r="A312" s="38" t="s">
        <v>501</v>
      </c>
      <c r="B312" s="34" t="s">
        <v>283</v>
      </c>
      <c r="C312" s="37" t="s">
        <v>294</v>
      </c>
      <c r="D312" s="45"/>
      <c r="E312" s="20">
        <f>SUM(E313)</f>
        <v>0</v>
      </c>
      <c r="F312" s="20">
        <f>SUM(F313)</f>
        <v>14175.9</v>
      </c>
      <c r="G312" s="20">
        <f>SUM(G313)</f>
        <v>14175.9</v>
      </c>
    </row>
    <row r="313" spans="1:7" x14ac:dyDescent="0.25">
      <c r="A313" s="38" t="s">
        <v>22</v>
      </c>
      <c r="B313" s="34" t="s">
        <v>283</v>
      </c>
      <c r="C313" s="37" t="s">
        <v>294</v>
      </c>
      <c r="D313" s="45">
        <v>800</v>
      </c>
      <c r="E313" s="31">
        <f>14175.9-14175.9</f>
        <v>0</v>
      </c>
      <c r="F313" s="31">
        <v>14175.9</v>
      </c>
      <c r="G313" s="31">
        <v>14175.9</v>
      </c>
    </row>
    <row r="314" spans="1:7" ht="30" x14ac:dyDescent="0.25">
      <c r="A314" s="104" t="s">
        <v>512</v>
      </c>
      <c r="B314" s="37" t="s">
        <v>283</v>
      </c>
      <c r="C314" s="37" t="s">
        <v>484</v>
      </c>
      <c r="D314" s="45"/>
      <c r="E314" s="31">
        <f>E315</f>
        <v>100474.6</v>
      </c>
      <c r="F314" s="31">
        <f t="shared" ref="F314:G316" si="49">F315</f>
        <v>3120</v>
      </c>
      <c r="G314" s="31">
        <f t="shared" si="49"/>
        <v>3120</v>
      </c>
    </row>
    <row r="315" spans="1:7" ht="30" x14ac:dyDescent="0.25">
      <c r="A315" s="1" t="s">
        <v>482</v>
      </c>
      <c r="B315" s="37" t="s">
        <v>283</v>
      </c>
      <c r="C315" s="37" t="s">
        <v>485</v>
      </c>
      <c r="D315" s="45"/>
      <c r="E315" s="31">
        <f>E316</f>
        <v>100474.6</v>
      </c>
      <c r="F315" s="31">
        <f t="shared" si="49"/>
        <v>3120</v>
      </c>
      <c r="G315" s="31">
        <f t="shared" si="49"/>
        <v>3120</v>
      </c>
    </row>
    <row r="316" spans="1:7" ht="30" x14ac:dyDescent="0.25">
      <c r="A316" s="1" t="s">
        <v>483</v>
      </c>
      <c r="B316" s="37" t="s">
        <v>283</v>
      </c>
      <c r="C316" s="37" t="s">
        <v>486</v>
      </c>
      <c r="D316" s="45"/>
      <c r="E316" s="31">
        <f>E317</f>
        <v>100474.6</v>
      </c>
      <c r="F316" s="31">
        <f t="shared" si="49"/>
        <v>3120</v>
      </c>
      <c r="G316" s="31">
        <f t="shared" si="49"/>
        <v>3120</v>
      </c>
    </row>
    <row r="317" spans="1:7" ht="30" x14ac:dyDescent="0.25">
      <c r="A317" s="1" t="s">
        <v>21</v>
      </c>
      <c r="B317" s="37" t="s">
        <v>283</v>
      </c>
      <c r="C317" s="37" t="s">
        <v>486</v>
      </c>
      <c r="D317" s="45">
        <v>200</v>
      </c>
      <c r="E317" s="31">
        <f>1722.6+3061.9+95690.1</f>
        <v>100474.6</v>
      </c>
      <c r="F317" s="31">
        <v>3120</v>
      </c>
      <c r="G317" s="31">
        <v>3120</v>
      </c>
    </row>
    <row r="318" spans="1:7" x14ac:dyDescent="0.25">
      <c r="A318" s="41" t="s">
        <v>173</v>
      </c>
      <c r="B318" s="42" t="s">
        <v>174</v>
      </c>
      <c r="C318" s="42"/>
      <c r="D318" s="43"/>
      <c r="E318" s="14">
        <f>E319+E326</f>
        <v>97819.7</v>
      </c>
      <c r="F318" s="14">
        <f>F319+F326</f>
        <v>98243.9</v>
      </c>
      <c r="G318" s="14">
        <f>G319+G326</f>
        <v>100344.5</v>
      </c>
    </row>
    <row r="319" spans="1:7" ht="60" x14ac:dyDescent="0.25">
      <c r="A319" s="1" t="s">
        <v>295</v>
      </c>
      <c r="B319" s="17" t="s">
        <v>174</v>
      </c>
      <c r="C319" s="18" t="s">
        <v>108</v>
      </c>
      <c r="D319" s="19"/>
      <c r="E319" s="31">
        <f>SUM(E320)</f>
        <v>33470.400000000001</v>
      </c>
      <c r="F319" s="31">
        <f t="shared" ref="F319:G321" si="50">SUM(F320)</f>
        <v>33925.199999999997</v>
      </c>
      <c r="G319" s="31">
        <f t="shared" si="50"/>
        <v>34876.699999999997</v>
      </c>
    </row>
    <row r="320" spans="1:7" ht="75" x14ac:dyDescent="0.25">
      <c r="A320" s="1" t="s">
        <v>296</v>
      </c>
      <c r="B320" s="17" t="s">
        <v>174</v>
      </c>
      <c r="C320" s="18" t="s">
        <v>297</v>
      </c>
      <c r="D320" s="19"/>
      <c r="E320" s="31">
        <f>SUM(E321)</f>
        <v>33470.400000000001</v>
      </c>
      <c r="F320" s="31">
        <f t="shared" si="50"/>
        <v>33925.199999999997</v>
      </c>
      <c r="G320" s="31">
        <f t="shared" si="50"/>
        <v>34876.699999999997</v>
      </c>
    </row>
    <row r="321" spans="1:7" ht="30" x14ac:dyDescent="0.25">
      <c r="A321" s="1" t="s">
        <v>298</v>
      </c>
      <c r="B321" s="17" t="s">
        <v>174</v>
      </c>
      <c r="C321" s="18" t="s">
        <v>299</v>
      </c>
      <c r="D321" s="19"/>
      <c r="E321" s="31">
        <f>SUM(E322)</f>
        <v>33470.400000000001</v>
      </c>
      <c r="F321" s="31">
        <f t="shared" si="50"/>
        <v>33925.199999999997</v>
      </c>
      <c r="G321" s="31">
        <f t="shared" si="50"/>
        <v>34876.699999999997</v>
      </c>
    </row>
    <row r="322" spans="1:7" ht="30" x14ac:dyDescent="0.25">
      <c r="A322" s="23" t="s">
        <v>42</v>
      </c>
      <c r="B322" s="17" t="s">
        <v>174</v>
      </c>
      <c r="C322" s="18" t="s">
        <v>300</v>
      </c>
      <c r="D322" s="19"/>
      <c r="E322" s="31">
        <f>SUM(E323:E325)</f>
        <v>33470.400000000001</v>
      </c>
      <c r="F322" s="31">
        <f>SUM(F323:F325)</f>
        <v>33925.199999999997</v>
      </c>
      <c r="G322" s="31">
        <f>SUM(G323:G325)</f>
        <v>34876.699999999997</v>
      </c>
    </row>
    <row r="323" spans="1:7" ht="60" x14ac:dyDescent="0.25">
      <c r="A323" s="1" t="s">
        <v>14</v>
      </c>
      <c r="B323" s="17" t="s">
        <v>174</v>
      </c>
      <c r="C323" s="18" t="s">
        <v>300</v>
      </c>
      <c r="D323" s="19">
        <v>100</v>
      </c>
      <c r="E323" s="31">
        <v>31540.2</v>
      </c>
      <c r="F323" s="31">
        <v>31858.7</v>
      </c>
      <c r="G323" s="31">
        <v>32814.6</v>
      </c>
    </row>
    <row r="324" spans="1:7" ht="30" x14ac:dyDescent="0.25">
      <c r="A324" s="1" t="s">
        <v>21</v>
      </c>
      <c r="B324" s="17" t="s">
        <v>174</v>
      </c>
      <c r="C324" s="18" t="s">
        <v>300</v>
      </c>
      <c r="D324" s="19">
        <v>200</v>
      </c>
      <c r="E324" s="31">
        <f>704.3+333+850.4</f>
        <v>1887.6999999999998</v>
      </c>
      <c r="F324" s="31">
        <v>2024</v>
      </c>
      <c r="G324" s="31">
        <v>2019.6</v>
      </c>
    </row>
    <row r="325" spans="1:7" x14ac:dyDescent="0.25">
      <c r="A325" s="22" t="s">
        <v>22</v>
      </c>
      <c r="B325" s="17" t="s">
        <v>174</v>
      </c>
      <c r="C325" s="18" t="s">
        <v>300</v>
      </c>
      <c r="D325" s="19">
        <v>800</v>
      </c>
      <c r="E325" s="31">
        <v>42.5</v>
      </c>
      <c r="F325" s="31">
        <v>42.5</v>
      </c>
      <c r="G325" s="31">
        <v>42.5</v>
      </c>
    </row>
    <row r="326" spans="1:7" ht="60" x14ac:dyDescent="0.25">
      <c r="A326" s="48" t="s">
        <v>175</v>
      </c>
      <c r="B326" s="34" t="s">
        <v>174</v>
      </c>
      <c r="C326" s="34" t="s">
        <v>116</v>
      </c>
      <c r="D326" s="35"/>
      <c r="E326" s="20">
        <f t="shared" ref="E326:G327" si="51">SUM(E327)</f>
        <v>64349.299999999996</v>
      </c>
      <c r="F326" s="20">
        <f t="shared" si="51"/>
        <v>64318.700000000004</v>
      </c>
      <c r="G326" s="20">
        <f t="shared" si="51"/>
        <v>65467.8</v>
      </c>
    </row>
    <row r="327" spans="1:7" ht="45" x14ac:dyDescent="0.25">
      <c r="A327" s="48" t="s">
        <v>176</v>
      </c>
      <c r="B327" s="34" t="s">
        <v>174</v>
      </c>
      <c r="C327" s="34" t="s">
        <v>177</v>
      </c>
      <c r="D327" s="35"/>
      <c r="E327" s="20">
        <f t="shared" si="51"/>
        <v>64349.299999999996</v>
      </c>
      <c r="F327" s="20">
        <f t="shared" si="51"/>
        <v>64318.700000000004</v>
      </c>
      <c r="G327" s="20">
        <f t="shared" si="51"/>
        <v>65467.8</v>
      </c>
    </row>
    <row r="328" spans="1:7" ht="30" x14ac:dyDescent="0.25">
      <c r="A328" s="36" t="s">
        <v>64</v>
      </c>
      <c r="B328" s="34" t="s">
        <v>174</v>
      </c>
      <c r="C328" s="34" t="s">
        <v>178</v>
      </c>
      <c r="D328" s="35"/>
      <c r="E328" s="20">
        <f>SUM(E329:E331)</f>
        <v>64349.299999999996</v>
      </c>
      <c r="F328" s="20">
        <f>SUM(F329:F331)</f>
        <v>64318.700000000004</v>
      </c>
      <c r="G328" s="20">
        <f>SUM(G329:G331)</f>
        <v>65467.8</v>
      </c>
    </row>
    <row r="329" spans="1:7" ht="60" x14ac:dyDescent="0.25">
      <c r="A329" s="36" t="s">
        <v>14</v>
      </c>
      <c r="B329" s="34" t="s">
        <v>174</v>
      </c>
      <c r="C329" s="34" t="s">
        <v>178</v>
      </c>
      <c r="D329" s="35">
        <v>100</v>
      </c>
      <c r="E329" s="31">
        <f>36098.5+102.2</f>
        <v>36200.699999999997</v>
      </c>
      <c r="F329" s="31">
        <f>36459.5+74.3</f>
        <v>36533.800000000003</v>
      </c>
      <c r="G329" s="31">
        <f>37542.4+74.3</f>
        <v>37616.700000000004</v>
      </c>
    </row>
    <row r="330" spans="1:7" ht="30" x14ac:dyDescent="0.25">
      <c r="A330" s="1" t="s">
        <v>21</v>
      </c>
      <c r="B330" s="34" t="s">
        <v>174</v>
      </c>
      <c r="C330" s="34" t="s">
        <v>178</v>
      </c>
      <c r="D330" s="35">
        <v>200</v>
      </c>
      <c r="E330" s="31">
        <f>1430.6+1200</f>
        <v>2630.6</v>
      </c>
      <c r="F330" s="31">
        <v>2266.9</v>
      </c>
      <c r="G330" s="31">
        <v>2333.1</v>
      </c>
    </row>
    <row r="331" spans="1:7" x14ac:dyDescent="0.25">
      <c r="A331" s="22" t="s">
        <v>22</v>
      </c>
      <c r="B331" s="34" t="s">
        <v>174</v>
      </c>
      <c r="C331" s="34" t="s">
        <v>178</v>
      </c>
      <c r="D331" s="35">
        <v>800</v>
      </c>
      <c r="E331" s="31">
        <v>25518</v>
      </c>
      <c r="F331" s="31">
        <v>25518</v>
      </c>
      <c r="G331" s="31">
        <v>25518</v>
      </c>
    </row>
    <row r="332" spans="1:7" x14ac:dyDescent="0.25">
      <c r="A332" s="10" t="s">
        <v>179</v>
      </c>
      <c r="B332" s="11" t="s">
        <v>180</v>
      </c>
      <c r="C332" s="16"/>
      <c r="D332" s="13"/>
      <c r="E332" s="51">
        <f>SUM(E333+E347+E405+E428+E383)</f>
        <v>2530297.3000000003</v>
      </c>
      <c r="F332" s="51">
        <f>SUM(F333+F347+F405+F428+F383)</f>
        <v>2245752.4</v>
      </c>
      <c r="G332" s="51">
        <f>SUM(G333+G347+G405+G428+G383)</f>
        <v>2250158.2000000002</v>
      </c>
    </row>
    <row r="333" spans="1:7" x14ac:dyDescent="0.25">
      <c r="A333" s="10" t="s">
        <v>330</v>
      </c>
      <c r="B333" s="11" t="s">
        <v>331</v>
      </c>
      <c r="C333" s="16"/>
      <c r="D333" s="13"/>
      <c r="E333" s="51">
        <f>SUM(E334)</f>
        <v>818016.9</v>
      </c>
      <c r="F333" s="51">
        <f t="shared" ref="F333:G333" si="52">SUM(F334)</f>
        <v>857155.60000000009</v>
      </c>
      <c r="G333" s="51">
        <f t="shared" si="52"/>
        <v>887453.3</v>
      </c>
    </row>
    <row r="334" spans="1:7" ht="30" x14ac:dyDescent="0.25">
      <c r="A334" s="1" t="s">
        <v>332</v>
      </c>
      <c r="B334" s="17" t="s">
        <v>331</v>
      </c>
      <c r="C334" s="18" t="s">
        <v>333</v>
      </c>
      <c r="D334" s="19"/>
      <c r="E334" s="52">
        <f>SUM(E335+E341)</f>
        <v>818016.9</v>
      </c>
      <c r="F334" s="52">
        <f>SUM(F335+F341)</f>
        <v>857155.60000000009</v>
      </c>
      <c r="G334" s="52">
        <f>SUM(G335+G341)</f>
        <v>887453.3</v>
      </c>
    </row>
    <row r="335" spans="1:7" ht="30" x14ac:dyDescent="0.25">
      <c r="A335" s="22" t="s">
        <v>334</v>
      </c>
      <c r="B335" s="17" t="s">
        <v>331</v>
      </c>
      <c r="C335" s="18" t="s">
        <v>335</v>
      </c>
      <c r="D335" s="19"/>
      <c r="E335" s="52">
        <f>SUM(E336)</f>
        <v>816630.6</v>
      </c>
      <c r="F335" s="52">
        <f t="shared" ref="F335:G335" si="53">SUM(F336)</f>
        <v>855875.3</v>
      </c>
      <c r="G335" s="52">
        <f t="shared" si="53"/>
        <v>886173</v>
      </c>
    </row>
    <row r="336" spans="1:7" ht="45" x14ac:dyDescent="0.25">
      <c r="A336" s="22" t="s">
        <v>336</v>
      </c>
      <c r="B336" s="17" t="s">
        <v>331</v>
      </c>
      <c r="C336" s="18" t="s">
        <v>337</v>
      </c>
      <c r="D336" s="19"/>
      <c r="E336" s="52">
        <f>SUM(E337+E339)</f>
        <v>816630.6</v>
      </c>
      <c r="F336" s="52">
        <f t="shared" ref="F336:G336" si="54">SUM(F337+F339)</f>
        <v>855875.3</v>
      </c>
      <c r="G336" s="52">
        <f t="shared" si="54"/>
        <v>886173</v>
      </c>
    </row>
    <row r="337" spans="1:7" ht="30" x14ac:dyDescent="0.25">
      <c r="A337" s="22" t="s">
        <v>54</v>
      </c>
      <c r="B337" s="17" t="s">
        <v>331</v>
      </c>
      <c r="C337" s="18" t="s">
        <v>338</v>
      </c>
      <c r="D337" s="19"/>
      <c r="E337" s="52">
        <f>SUM(E338)</f>
        <v>392390.40000000002</v>
      </c>
      <c r="F337" s="52">
        <f t="shared" ref="F337:G337" si="55">SUM(F338)</f>
        <v>421921</v>
      </c>
      <c r="G337" s="52">
        <f t="shared" si="55"/>
        <v>429976.1</v>
      </c>
    </row>
    <row r="338" spans="1:7" ht="30" x14ac:dyDescent="0.25">
      <c r="A338" s="1" t="s">
        <v>66</v>
      </c>
      <c r="B338" s="17" t="s">
        <v>331</v>
      </c>
      <c r="C338" s="18" t="s">
        <v>338</v>
      </c>
      <c r="D338" s="19">
        <v>600</v>
      </c>
      <c r="E338" s="31">
        <f>356449.8+25624.5+1415.5+1123.7+7776.9</f>
        <v>392390.40000000002</v>
      </c>
      <c r="F338" s="31">
        <f>380227.5+25624.5+16069</f>
        <v>421921</v>
      </c>
      <c r="G338" s="31">
        <f>388282.6+25624.5+16069</f>
        <v>429976.1</v>
      </c>
    </row>
    <row r="339" spans="1:7" ht="165" x14ac:dyDescent="0.25">
      <c r="A339" s="22" t="s">
        <v>465</v>
      </c>
      <c r="B339" s="17" t="s">
        <v>331</v>
      </c>
      <c r="C339" s="18" t="s">
        <v>466</v>
      </c>
      <c r="D339" s="19"/>
      <c r="E339" s="52">
        <f>E340</f>
        <v>424240.19999999995</v>
      </c>
      <c r="F339" s="52">
        <f t="shared" ref="F339:G339" si="56">F340</f>
        <v>433954.3</v>
      </c>
      <c r="G339" s="52">
        <f t="shared" si="56"/>
        <v>456196.89999999997</v>
      </c>
    </row>
    <row r="340" spans="1:7" ht="30" x14ac:dyDescent="0.25">
      <c r="A340" s="1" t="s">
        <v>66</v>
      </c>
      <c r="B340" s="17" t="s">
        <v>331</v>
      </c>
      <c r="C340" s="18" t="s">
        <v>466</v>
      </c>
      <c r="D340" s="17" t="s">
        <v>339</v>
      </c>
      <c r="E340" s="31">
        <f>415971.6+8268.5+0.1</f>
        <v>424240.19999999995</v>
      </c>
      <c r="F340" s="31">
        <f>441059.3-7105</f>
        <v>433954.3</v>
      </c>
      <c r="G340" s="31">
        <f>483264.1-27067.2</f>
        <v>456196.89999999997</v>
      </c>
    </row>
    <row r="341" spans="1:7" ht="45" x14ac:dyDescent="0.25">
      <c r="A341" s="53" t="s">
        <v>340</v>
      </c>
      <c r="B341" s="54" t="s">
        <v>331</v>
      </c>
      <c r="C341" s="55" t="s">
        <v>341</v>
      </c>
      <c r="D341" s="54"/>
      <c r="E341" s="56">
        <f>E342</f>
        <v>1386.3</v>
      </c>
      <c r="F341" s="56">
        <f t="shared" ref="F341:G341" si="57">F342</f>
        <v>1280.3</v>
      </c>
      <c r="G341" s="56">
        <f t="shared" si="57"/>
        <v>1280.3</v>
      </c>
    </row>
    <row r="342" spans="1:7" ht="30" x14ac:dyDescent="0.25">
      <c r="A342" s="57" t="s">
        <v>342</v>
      </c>
      <c r="B342" s="54" t="s">
        <v>331</v>
      </c>
      <c r="C342" s="55" t="s">
        <v>343</v>
      </c>
      <c r="D342" s="54"/>
      <c r="E342" s="56">
        <f>E345+E343</f>
        <v>1386.3</v>
      </c>
      <c r="F342" s="56">
        <f t="shared" ref="F342:G342" si="58">F345+F343</f>
        <v>1280.3</v>
      </c>
      <c r="G342" s="56">
        <f t="shared" si="58"/>
        <v>1280.3</v>
      </c>
    </row>
    <row r="343" spans="1:7" ht="30" x14ac:dyDescent="0.25">
      <c r="A343" s="107" t="s">
        <v>357</v>
      </c>
      <c r="B343" s="101" t="s">
        <v>331</v>
      </c>
      <c r="C343" s="101" t="s">
        <v>358</v>
      </c>
      <c r="D343" s="115"/>
      <c r="E343" s="56">
        <f>E344</f>
        <v>106</v>
      </c>
      <c r="F343" s="56">
        <f t="shared" ref="F343:G343" si="59">F344</f>
        <v>0</v>
      </c>
      <c r="G343" s="56">
        <f t="shared" si="59"/>
        <v>0</v>
      </c>
    </row>
    <row r="344" spans="1:7" ht="30" x14ac:dyDescent="0.25">
      <c r="A344" s="104" t="s">
        <v>66</v>
      </c>
      <c r="B344" s="101" t="s">
        <v>331</v>
      </c>
      <c r="C344" s="101" t="s">
        <v>358</v>
      </c>
      <c r="D344" s="115">
        <v>600</v>
      </c>
      <c r="E344" s="56">
        <v>106</v>
      </c>
      <c r="F344" s="56">
        <v>0</v>
      </c>
      <c r="G344" s="56">
        <v>0</v>
      </c>
    </row>
    <row r="345" spans="1:7" ht="30" x14ac:dyDescent="0.25">
      <c r="A345" s="59" t="s">
        <v>344</v>
      </c>
      <c r="B345" s="54" t="s">
        <v>331</v>
      </c>
      <c r="C345" s="55" t="s">
        <v>345</v>
      </c>
      <c r="D345" s="54"/>
      <c r="E345" s="56">
        <f>E346</f>
        <v>1280.3</v>
      </c>
      <c r="F345" s="56">
        <f t="shared" ref="F345:G345" si="60">F346</f>
        <v>1280.3</v>
      </c>
      <c r="G345" s="56">
        <f t="shared" si="60"/>
        <v>1280.3</v>
      </c>
    </row>
    <row r="346" spans="1:7" ht="30" x14ac:dyDescent="0.25">
      <c r="A346" s="1" t="s">
        <v>66</v>
      </c>
      <c r="B346" s="54" t="s">
        <v>331</v>
      </c>
      <c r="C346" s="55" t="s">
        <v>345</v>
      </c>
      <c r="D346" s="54">
        <v>600</v>
      </c>
      <c r="E346" s="31">
        <v>1280.3</v>
      </c>
      <c r="F346" s="31">
        <v>1280.3</v>
      </c>
      <c r="G346" s="31">
        <v>1280.3</v>
      </c>
    </row>
    <row r="347" spans="1:7" x14ac:dyDescent="0.25">
      <c r="A347" s="10" t="s">
        <v>346</v>
      </c>
      <c r="B347" s="16" t="s">
        <v>347</v>
      </c>
      <c r="C347" s="16"/>
      <c r="D347" s="60"/>
      <c r="E347" s="109">
        <f>E348</f>
        <v>1356197.3000000003</v>
      </c>
      <c r="F347" s="109">
        <f t="shared" ref="F347:G347" si="61">F348</f>
        <v>1040720.2999999999</v>
      </c>
      <c r="G347" s="109">
        <f t="shared" si="61"/>
        <v>1007421.2999999999</v>
      </c>
    </row>
    <row r="348" spans="1:7" ht="30" x14ac:dyDescent="0.25">
      <c r="A348" s="1" t="s">
        <v>332</v>
      </c>
      <c r="B348" s="17" t="s">
        <v>347</v>
      </c>
      <c r="C348" s="18" t="s">
        <v>333</v>
      </c>
      <c r="D348" s="19"/>
      <c r="E348" s="52">
        <f>SUM(E349+E376)</f>
        <v>1356197.3000000003</v>
      </c>
      <c r="F348" s="52">
        <f t="shared" ref="F348:G348" si="62">SUM(F349+F376)</f>
        <v>1040720.2999999999</v>
      </c>
      <c r="G348" s="52">
        <f t="shared" si="62"/>
        <v>1007421.2999999999</v>
      </c>
    </row>
    <row r="349" spans="1:7" ht="30" x14ac:dyDescent="0.25">
      <c r="A349" s="22" t="s">
        <v>334</v>
      </c>
      <c r="B349" s="17" t="s">
        <v>347</v>
      </c>
      <c r="C349" s="18" t="s">
        <v>335</v>
      </c>
      <c r="D349" s="19"/>
      <c r="E349" s="52">
        <f>E350+E365</f>
        <v>1354045.7000000002</v>
      </c>
      <c r="F349" s="52">
        <f t="shared" ref="F349:G349" si="63">F350+F365</f>
        <v>1038656.7</v>
      </c>
      <c r="G349" s="52">
        <f t="shared" si="63"/>
        <v>1005357.7</v>
      </c>
    </row>
    <row r="350" spans="1:7" ht="45" x14ac:dyDescent="0.25">
      <c r="A350" s="23" t="s">
        <v>336</v>
      </c>
      <c r="B350" s="17" t="s">
        <v>347</v>
      </c>
      <c r="C350" s="18" t="s">
        <v>337</v>
      </c>
      <c r="D350" s="19"/>
      <c r="E350" s="52">
        <f>E351+E353+E355+E357+E359+E361+E363</f>
        <v>977550.10000000009</v>
      </c>
      <c r="F350" s="52">
        <f t="shared" ref="F350:G350" si="64">F351+F353+F355+F357+F359+F361+F363</f>
        <v>980719.29999999993</v>
      </c>
      <c r="G350" s="52">
        <f t="shared" si="64"/>
        <v>1005357.7</v>
      </c>
    </row>
    <row r="351" spans="1:7" ht="45" x14ac:dyDescent="0.25">
      <c r="A351" s="33" t="s">
        <v>348</v>
      </c>
      <c r="B351" s="18" t="s">
        <v>347</v>
      </c>
      <c r="C351" s="37" t="s">
        <v>349</v>
      </c>
      <c r="D351" s="61"/>
      <c r="E351" s="52">
        <f>E352</f>
        <v>9960.2999999999993</v>
      </c>
      <c r="F351" s="52">
        <f t="shared" ref="F351:G351" si="65">F352</f>
        <v>9960.2999999999993</v>
      </c>
      <c r="G351" s="52">
        <f t="shared" si="65"/>
        <v>9960.2999999999993</v>
      </c>
    </row>
    <row r="352" spans="1:7" ht="30" x14ac:dyDescent="0.25">
      <c r="A352" s="1" t="s">
        <v>66</v>
      </c>
      <c r="B352" s="18" t="s">
        <v>347</v>
      </c>
      <c r="C352" s="37" t="s">
        <v>349</v>
      </c>
      <c r="D352" s="58">
        <v>600</v>
      </c>
      <c r="E352" s="31">
        <v>9960.2999999999993</v>
      </c>
      <c r="F352" s="31">
        <v>9960.2999999999993</v>
      </c>
      <c r="G352" s="31">
        <v>9960.2999999999993</v>
      </c>
    </row>
    <row r="353" spans="1:7" ht="30" x14ac:dyDescent="0.25">
      <c r="A353" s="33" t="s">
        <v>473</v>
      </c>
      <c r="B353" s="18" t="s">
        <v>347</v>
      </c>
      <c r="C353" s="37" t="s">
        <v>350</v>
      </c>
      <c r="D353" s="61"/>
      <c r="E353" s="52">
        <f>E354</f>
        <v>480</v>
      </c>
      <c r="F353" s="52">
        <f t="shared" ref="F353:G353" si="66">F354</f>
        <v>480</v>
      </c>
      <c r="G353" s="52">
        <f t="shared" si="66"/>
        <v>480</v>
      </c>
    </row>
    <row r="354" spans="1:7" ht="30" x14ac:dyDescent="0.25">
      <c r="A354" s="1" t="s">
        <v>66</v>
      </c>
      <c r="B354" s="18" t="s">
        <v>347</v>
      </c>
      <c r="C354" s="37" t="s">
        <v>350</v>
      </c>
      <c r="D354" s="58">
        <v>600</v>
      </c>
      <c r="E354" s="31">
        <v>480</v>
      </c>
      <c r="F354" s="31">
        <v>480</v>
      </c>
      <c r="G354" s="31">
        <v>480</v>
      </c>
    </row>
    <row r="355" spans="1:7" ht="30" x14ac:dyDescent="0.25">
      <c r="A355" s="23" t="s">
        <v>54</v>
      </c>
      <c r="B355" s="17" t="s">
        <v>347</v>
      </c>
      <c r="C355" s="18" t="s">
        <v>338</v>
      </c>
      <c r="D355" s="19"/>
      <c r="E355" s="52">
        <f>E356</f>
        <v>259947.4</v>
      </c>
      <c r="F355" s="52">
        <f t="shared" ref="F355:G355" si="67">F356</f>
        <v>264075</v>
      </c>
      <c r="G355" s="52">
        <f t="shared" si="67"/>
        <v>269285.8</v>
      </c>
    </row>
    <row r="356" spans="1:7" ht="30" x14ac:dyDescent="0.25">
      <c r="A356" s="1" t="s">
        <v>66</v>
      </c>
      <c r="B356" s="18" t="s">
        <v>347</v>
      </c>
      <c r="C356" s="18" t="s">
        <v>338</v>
      </c>
      <c r="D356" s="27">
        <v>600</v>
      </c>
      <c r="E356" s="31">
        <f>236180.6+1415.5-5802.7+483.6-1466.7+20875.9+8261.2</f>
        <v>259947.4</v>
      </c>
      <c r="F356" s="31">
        <f>249316.6+1415.5+13342.9</f>
        <v>264075</v>
      </c>
      <c r="G356" s="31">
        <f>254527.4+1415.5+13342.9</f>
        <v>269285.8</v>
      </c>
    </row>
    <row r="357" spans="1:7" ht="45" x14ac:dyDescent="0.25">
      <c r="A357" s="33" t="s">
        <v>351</v>
      </c>
      <c r="B357" s="18" t="s">
        <v>347</v>
      </c>
      <c r="C357" s="34" t="s">
        <v>352</v>
      </c>
      <c r="D357" s="62"/>
      <c r="E357" s="56">
        <f>E358</f>
        <v>8495.2999999999993</v>
      </c>
      <c r="F357" s="56">
        <f t="shared" ref="F357:G357" si="68">F358</f>
        <v>8495.2999999999993</v>
      </c>
      <c r="G357" s="56">
        <f t="shared" si="68"/>
        <v>8495.2999999999993</v>
      </c>
    </row>
    <row r="358" spans="1:7" ht="30" x14ac:dyDescent="0.25">
      <c r="A358" s="1" t="s">
        <v>66</v>
      </c>
      <c r="B358" s="18" t="s">
        <v>347</v>
      </c>
      <c r="C358" s="34" t="s">
        <v>352</v>
      </c>
      <c r="D358" s="26">
        <v>600</v>
      </c>
      <c r="E358" s="31">
        <v>8495.2999999999993</v>
      </c>
      <c r="F358" s="31">
        <v>8495.2999999999993</v>
      </c>
      <c r="G358" s="31">
        <v>8495.2999999999993</v>
      </c>
    </row>
    <row r="359" spans="1:7" ht="165" x14ac:dyDescent="0.25">
      <c r="A359" s="104" t="s">
        <v>465</v>
      </c>
      <c r="B359" s="17" t="s">
        <v>347</v>
      </c>
      <c r="C359" s="18" t="s">
        <v>467</v>
      </c>
      <c r="D359" s="18"/>
      <c r="E359" s="52">
        <f>E360</f>
        <v>694074.70000000007</v>
      </c>
      <c r="F359" s="52">
        <f t="shared" ref="F359:G359" si="69">F360</f>
        <v>697708.7</v>
      </c>
      <c r="G359" s="52">
        <f t="shared" si="69"/>
        <v>717136.3</v>
      </c>
    </row>
    <row r="360" spans="1:7" ht="30" x14ac:dyDescent="0.25">
      <c r="A360" s="1" t="s">
        <v>66</v>
      </c>
      <c r="B360" s="18" t="s">
        <v>347</v>
      </c>
      <c r="C360" s="18" t="s">
        <v>467</v>
      </c>
      <c r="D360" s="18" t="s">
        <v>339</v>
      </c>
      <c r="E360" s="31">
        <f>674616.8+19457.9</f>
        <v>694074.70000000007</v>
      </c>
      <c r="F360" s="31">
        <f>714430-16721.3</f>
        <v>697708.7</v>
      </c>
      <c r="G360" s="31">
        <f>780837.8-63701.5</f>
        <v>717136.3</v>
      </c>
    </row>
    <row r="361" spans="1:7" ht="90" hidden="1" x14ac:dyDescent="0.25">
      <c r="A361" s="104" t="s">
        <v>564</v>
      </c>
      <c r="B361" s="18" t="s">
        <v>347</v>
      </c>
      <c r="C361" s="101" t="s">
        <v>536</v>
      </c>
      <c r="D361" s="115"/>
      <c r="E361" s="31">
        <f>E362</f>
        <v>0</v>
      </c>
      <c r="F361" s="31">
        <f t="shared" ref="F361:G361" si="70">F362</f>
        <v>0</v>
      </c>
      <c r="G361" s="31">
        <f t="shared" si="70"/>
        <v>0</v>
      </c>
    </row>
    <row r="362" spans="1:7" ht="30" hidden="1" x14ac:dyDescent="0.25">
      <c r="A362" s="104" t="s">
        <v>66</v>
      </c>
      <c r="B362" s="18" t="s">
        <v>347</v>
      </c>
      <c r="C362" s="101" t="s">
        <v>536</v>
      </c>
      <c r="D362" s="115">
        <v>600</v>
      </c>
      <c r="E362" s="31">
        <f>4027.5-4027.5</f>
        <v>0</v>
      </c>
      <c r="F362" s="31">
        <v>0</v>
      </c>
      <c r="G362" s="31">
        <v>0</v>
      </c>
    </row>
    <row r="363" spans="1:7" ht="45" x14ac:dyDescent="0.25">
      <c r="A363" s="104" t="s">
        <v>544</v>
      </c>
      <c r="B363" s="18" t="s">
        <v>347</v>
      </c>
      <c r="C363" s="101" t="s">
        <v>545</v>
      </c>
      <c r="D363" s="115"/>
      <c r="E363" s="31">
        <f>E364</f>
        <v>4592.3999999999996</v>
      </c>
      <c r="F363" s="31">
        <f t="shared" ref="F363:G363" si="71">F364</f>
        <v>0</v>
      </c>
      <c r="G363" s="31">
        <f t="shared" si="71"/>
        <v>0</v>
      </c>
    </row>
    <row r="364" spans="1:7" ht="30" x14ac:dyDescent="0.25">
      <c r="A364" s="104" t="s">
        <v>66</v>
      </c>
      <c r="B364" s="18" t="s">
        <v>347</v>
      </c>
      <c r="C364" s="101" t="s">
        <v>545</v>
      </c>
      <c r="D364" s="115">
        <v>600</v>
      </c>
      <c r="E364" s="31">
        <f>564.9+4027.5</f>
        <v>4592.3999999999996</v>
      </c>
      <c r="F364" s="31">
        <v>0</v>
      </c>
      <c r="G364" s="31">
        <v>0</v>
      </c>
    </row>
    <row r="365" spans="1:7" ht="30" x14ac:dyDescent="0.25">
      <c r="A365" s="1" t="s">
        <v>353</v>
      </c>
      <c r="B365" s="18" t="s">
        <v>347</v>
      </c>
      <c r="C365" s="18" t="s">
        <v>354</v>
      </c>
      <c r="D365" s="18"/>
      <c r="E365" s="56">
        <f>E368+E370+E366+E372+E374</f>
        <v>376495.60000000003</v>
      </c>
      <c r="F365" s="56">
        <f t="shared" ref="F365:G365" si="72">F368+F370+F366+F372+F374</f>
        <v>57937.4</v>
      </c>
      <c r="G365" s="56">
        <f t="shared" si="72"/>
        <v>0</v>
      </c>
    </row>
    <row r="366" spans="1:7" ht="30" x14ac:dyDescent="0.25">
      <c r="A366" s="129" t="s">
        <v>546</v>
      </c>
      <c r="B366" s="18" t="s">
        <v>347</v>
      </c>
      <c r="C366" s="18" t="s">
        <v>547</v>
      </c>
      <c r="D366" s="18"/>
      <c r="E366" s="56">
        <f>E367</f>
        <v>9137.6</v>
      </c>
      <c r="F366" s="56">
        <f t="shared" ref="F366:G366" si="73">F367</f>
        <v>0</v>
      </c>
      <c r="G366" s="56">
        <f t="shared" si="73"/>
        <v>0</v>
      </c>
    </row>
    <row r="367" spans="1:7" ht="30" x14ac:dyDescent="0.25">
      <c r="A367" s="104" t="s">
        <v>66</v>
      </c>
      <c r="B367" s="18" t="s">
        <v>347</v>
      </c>
      <c r="C367" s="18" t="s">
        <v>547</v>
      </c>
      <c r="D367" s="18" t="s">
        <v>339</v>
      </c>
      <c r="E367" s="56">
        <f>2648-242.5+6732.1</f>
        <v>9137.6</v>
      </c>
      <c r="F367" s="56">
        <v>0</v>
      </c>
      <c r="G367" s="56">
        <v>0</v>
      </c>
    </row>
    <row r="368" spans="1:7" x14ac:dyDescent="0.25">
      <c r="A368" s="57" t="s">
        <v>355</v>
      </c>
      <c r="B368" s="18" t="s">
        <v>347</v>
      </c>
      <c r="C368" s="2" t="s">
        <v>356</v>
      </c>
      <c r="D368" s="27"/>
      <c r="E368" s="56">
        <f>E369</f>
        <v>1396</v>
      </c>
      <c r="F368" s="56">
        <f t="shared" ref="F368:G368" si="74">F369</f>
        <v>0</v>
      </c>
      <c r="G368" s="56">
        <f t="shared" si="74"/>
        <v>0</v>
      </c>
    </row>
    <row r="369" spans="1:7" ht="30" x14ac:dyDescent="0.25">
      <c r="A369" s="57" t="s">
        <v>87</v>
      </c>
      <c r="B369" s="18" t="s">
        <v>347</v>
      </c>
      <c r="C369" s="2" t="s">
        <v>356</v>
      </c>
      <c r="D369" s="27">
        <v>400</v>
      </c>
      <c r="E369" s="31">
        <f>372226.6-372226.6+1396</f>
        <v>1396</v>
      </c>
      <c r="F369" s="31">
        <v>0</v>
      </c>
      <c r="G369" s="31">
        <v>0</v>
      </c>
    </row>
    <row r="370" spans="1:7" ht="30" x14ac:dyDescent="0.25">
      <c r="A370" s="22" t="s">
        <v>555</v>
      </c>
      <c r="B370" s="17" t="s">
        <v>347</v>
      </c>
      <c r="C370" s="18" t="s">
        <v>535</v>
      </c>
      <c r="D370" s="19"/>
      <c r="E370" s="31">
        <f>E371</f>
        <v>12890</v>
      </c>
      <c r="F370" s="31">
        <f t="shared" ref="F370:G370" si="75">F371</f>
        <v>0</v>
      </c>
      <c r="G370" s="31">
        <f t="shared" si="75"/>
        <v>0</v>
      </c>
    </row>
    <row r="371" spans="1:7" ht="30" x14ac:dyDescent="0.25">
      <c r="A371" s="38" t="s">
        <v>87</v>
      </c>
      <c r="B371" s="17" t="s">
        <v>347</v>
      </c>
      <c r="C371" s="18" t="s">
        <v>535</v>
      </c>
      <c r="D371" s="19">
        <v>400</v>
      </c>
      <c r="E371" s="31">
        <f>21464.3-9674.3+1100</f>
        <v>12890</v>
      </c>
      <c r="F371" s="31">
        <v>0</v>
      </c>
      <c r="G371" s="31">
        <v>0</v>
      </c>
    </row>
    <row r="372" spans="1:7" ht="60" x14ac:dyDescent="0.25">
      <c r="A372" s="103" t="s">
        <v>548</v>
      </c>
      <c r="B372" s="17" t="s">
        <v>347</v>
      </c>
      <c r="C372" s="18" t="s">
        <v>549</v>
      </c>
      <c r="D372" s="19"/>
      <c r="E372" s="31">
        <f>E373</f>
        <v>222.1</v>
      </c>
      <c r="F372" s="31">
        <f t="shared" ref="F372:G372" si="76">F373</f>
        <v>0</v>
      </c>
      <c r="G372" s="31">
        <f t="shared" si="76"/>
        <v>0</v>
      </c>
    </row>
    <row r="373" spans="1:7" ht="30" x14ac:dyDescent="0.25">
      <c r="A373" s="104" t="s">
        <v>66</v>
      </c>
      <c r="B373" s="17" t="s">
        <v>347</v>
      </c>
      <c r="C373" s="18" t="s">
        <v>549</v>
      </c>
      <c r="D373" s="19">
        <v>600</v>
      </c>
      <c r="E373" s="31">
        <v>222.1</v>
      </c>
      <c r="F373" s="31">
        <v>0</v>
      </c>
      <c r="G373" s="31">
        <v>0</v>
      </c>
    </row>
    <row r="374" spans="1:7" x14ac:dyDescent="0.25">
      <c r="A374" s="104" t="s">
        <v>554</v>
      </c>
      <c r="B374" s="17" t="s">
        <v>347</v>
      </c>
      <c r="C374" s="18" t="s">
        <v>553</v>
      </c>
      <c r="D374" s="19"/>
      <c r="E374" s="31">
        <f>E375</f>
        <v>352849.9</v>
      </c>
      <c r="F374" s="31">
        <f t="shared" ref="F374:G374" si="77">F375</f>
        <v>57937.4</v>
      </c>
      <c r="G374" s="31">
        <f t="shared" si="77"/>
        <v>0</v>
      </c>
    </row>
    <row r="375" spans="1:7" ht="30" x14ac:dyDescent="0.25">
      <c r="A375" s="38" t="s">
        <v>87</v>
      </c>
      <c r="B375" s="17" t="s">
        <v>347</v>
      </c>
      <c r="C375" s="18" t="s">
        <v>553</v>
      </c>
      <c r="D375" s="19">
        <v>400</v>
      </c>
      <c r="E375" s="31">
        <v>352849.9</v>
      </c>
      <c r="F375" s="31">
        <v>57937.4</v>
      </c>
      <c r="G375" s="31">
        <v>0</v>
      </c>
    </row>
    <row r="376" spans="1:7" ht="45" x14ac:dyDescent="0.25">
      <c r="A376" s="63" t="s">
        <v>340</v>
      </c>
      <c r="B376" s="34" t="s">
        <v>347</v>
      </c>
      <c r="C376" s="34" t="s">
        <v>341</v>
      </c>
      <c r="D376" s="26"/>
      <c r="E376" s="64">
        <f>E377</f>
        <v>2151.6</v>
      </c>
      <c r="F376" s="64">
        <f>F377</f>
        <v>2063.6</v>
      </c>
      <c r="G376" s="64">
        <f t="shared" ref="G376" si="78">G377</f>
        <v>2063.6</v>
      </c>
    </row>
    <row r="377" spans="1:7" ht="30" x14ac:dyDescent="0.25">
      <c r="A377" s="50" t="s">
        <v>342</v>
      </c>
      <c r="B377" s="34" t="s">
        <v>347</v>
      </c>
      <c r="C377" s="34" t="s">
        <v>343</v>
      </c>
      <c r="D377" s="26"/>
      <c r="E377" s="64">
        <f>E381+E378</f>
        <v>2151.6</v>
      </c>
      <c r="F377" s="64">
        <f t="shared" ref="F377:G377" si="79">F381+F378</f>
        <v>2063.6</v>
      </c>
      <c r="G377" s="64">
        <f t="shared" si="79"/>
        <v>2063.6</v>
      </c>
    </row>
    <row r="378" spans="1:7" ht="30" x14ac:dyDescent="0.25">
      <c r="A378" s="50" t="s">
        <v>357</v>
      </c>
      <c r="B378" s="34" t="s">
        <v>347</v>
      </c>
      <c r="C378" s="34" t="s">
        <v>358</v>
      </c>
      <c r="D378" s="26"/>
      <c r="E378" s="64">
        <f>E380+E379</f>
        <v>413.5</v>
      </c>
      <c r="F378" s="64">
        <f t="shared" ref="F378:G378" si="80">F380+F379</f>
        <v>325.5</v>
      </c>
      <c r="G378" s="64">
        <f t="shared" si="80"/>
        <v>325.5</v>
      </c>
    </row>
    <row r="379" spans="1:7" hidden="1" x14ac:dyDescent="0.25">
      <c r="A379" s="1" t="s">
        <v>29</v>
      </c>
      <c r="B379" s="37" t="s">
        <v>347</v>
      </c>
      <c r="C379" s="37" t="s">
        <v>358</v>
      </c>
      <c r="D379" s="58">
        <v>300</v>
      </c>
      <c r="E379" s="64"/>
      <c r="F379" s="64"/>
      <c r="G379" s="64"/>
    </row>
    <row r="380" spans="1:7" ht="30" x14ac:dyDescent="0.25">
      <c r="A380" s="1" t="s">
        <v>66</v>
      </c>
      <c r="B380" s="34" t="s">
        <v>347</v>
      </c>
      <c r="C380" s="34" t="s">
        <v>358</v>
      </c>
      <c r="D380" s="26">
        <v>600</v>
      </c>
      <c r="E380" s="31">
        <f>325.5+88</f>
        <v>413.5</v>
      </c>
      <c r="F380" s="31">
        <v>325.5</v>
      </c>
      <c r="G380" s="31">
        <v>325.5</v>
      </c>
    </row>
    <row r="381" spans="1:7" ht="30" x14ac:dyDescent="0.25">
      <c r="A381" s="48" t="s">
        <v>344</v>
      </c>
      <c r="B381" s="34" t="s">
        <v>347</v>
      </c>
      <c r="C381" s="34" t="s">
        <v>345</v>
      </c>
      <c r="D381" s="26"/>
      <c r="E381" s="64">
        <f>E382</f>
        <v>1738.1</v>
      </c>
      <c r="F381" s="64">
        <f t="shared" ref="F381:G381" si="81">F382</f>
        <v>1738.1</v>
      </c>
      <c r="G381" s="64">
        <f t="shared" si="81"/>
        <v>1738.1</v>
      </c>
    </row>
    <row r="382" spans="1:7" ht="30" x14ac:dyDescent="0.25">
      <c r="A382" s="1" t="s">
        <v>66</v>
      </c>
      <c r="B382" s="34" t="s">
        <v>347</v>
      </c>
      <c r="C382" s="34" t="s">
        <v>345</v>
      </c>
      <c r="D382" s="26">
        <v>600</v>
      </c>
      <c r="E382" s="31">
        <v>1738.1</v>
      </c>
      <c r="F382" s="31">
        <v>1738.1</v>
      </c>
      <c r="G382" s="31">
        <v>1738.1</v>
      </c>
    </row>
    <row r="383" spans="1:7" x14ac:dyDescent="0.25">
      <c r="A383" s="10" t="s">
        <v>359</v>
      </c>
      <c r="B383" s="65" t="s">
        <v>360</v>
      </c>
      <c r="C383" s="65"/>
      <c r="D383" s="66"/>
      <c r="E383" s="110">
        <f>SUM(E384+E398)</f>
        <v>253795.8</v>
      </c>
      <c r="F383" s="110">
        <f>SUM(F384+F398)</f>
        <v>244223.00000000003</v>
      </c>
      <c r="G383" s="110">
        <f>SUM(G384+G398)</f>
        <v>250672</v>
      </c>
    </row>
    <row r="384" spans="1:7" ht="30" x14ac:dyDescent="0.25">
      <c r="A384" s="1" t="s">
        <v>332</v>
      </c>
      <c r="B384" s="17" t="s">
        <v>360</v>
      </c>
      <c r="C384" s="18" t="s">
        <v>333</v>
      </c>
      <c r="D384" s="58"/>
      <c r="E384" s="31">
        <f>SUM(E385+E392)</f>
        <v>180450.9</v>
      </c>
      <c r="F384" s="31">
        <f>SUM(F385+F392)</f>
        <v>166978.30000000002</v>
      </c>
      <c r="G384" s="31">
        <f>SUM(G385+G392)</f>
        <v>171484.4</v>
      </c>
    </row>
    <row r="385" spans="1:7" ht="30" x14ac:dyDescent="0.25">
      <c r="A385" s="22" t="s">
        <v>334</v>
      </c>
      <c r="B385" s="17" t="s">
        <v>360</v>
      </c>
      <c r="C385" s="18" t="s">
        <v>335</v>
      </c>
      <c r="D385" s="58"/>
      <c r="E385" s="31">
        <f>SUM(E386)+E389</f>
        <v>180408.9</v>
      </c>
      <c r="F385" s="31">
        <f t="shared" ref="F385:G385" si="82">SUM(F386)+F389</f>
        <v>166942.30000000002</v>
      </c>
      <c r="G385" s="31">
        <f t="shared" si="82"/>
        <v>171448.4</v>
      </c>
    </row>
    <row r="386" spans="1:7" ht="45" x14ac:dyDescent="0.25">
      <c r="A386" s="23" t="s">
        <v>336</v>
      </c>
      <c r="B386" s="17" t="s">
        <v>360</v>
      </c>
      <c r="C386" s="18" t="s">
        <v>337</v>
      </c>
      <c r="D386" s="58"/>
      <c r="E386" s="31">
        <f>SUM(E387)</f>
        <v>171661.5</v>
      </c>
      <c r="F386" s="31">
        <f t="shared" ref="F386:G386" si="83">SUM(F387)</f>
        <v>166942.30000000002</v>
      </c>
      <c r="G386" s="31">
        <f t="shared" si="83"/>
        <v>171448.4</v>
      </c>
    </row>
    <row r="387" spans="1:7" ht="30" x14ac:dyDescent="0.25">
      <c r="A387" s="23" t="s">
        <v>54</v>
      </c>
      <c r="B387" s="17" t="s">
        <v>360</v>
      </c>
      <c r="C387" s="18" t="s">
        <v>338</v>
      </c>
      <c r="D387" s="19"/>
      <c r="E387" s="31">
        <f>E388</f>
        <v>171661.5</v>
      </c>
      <c r="F387" s="31">
        <f t="shared" ref="F387:G387" si="84">F388</f>
        <v>166942.30000000002</v>
      </c>
      <c r="G387" s="31">
        <f t="shared" si="84"/>
        <v>171448.4</v>
      </c>
    </row>
    <row r="388" spans="1:7" ht="30" x14ac:dyDescent="0.25">
      <c r="A388" s="1" t="s">
        <v>66</v>
      </c>
      <c r="B388" s="17" t="s">
        <v>360</v>
      </c>
      <c r="C388" s="18" t="s">
        <v>338</v>
      </c>
      <c r="D388" s="27">
        <v>600</v>
      </c>
      <c r="E388" s="31">
        <f>156151.1-1329.1+15264.1+1575.4</f>
        <v>171661.5</v>
      </c>
      <c r="F388" s="31">
        <f>163200.7+3741.6</f>
        <v>166942.30000000002</v>
      </c>
      <c r="G388" s="31">
        <f>167706.8+3741.6</f>
        <v>171448.4</v>
      </c>
    </row>
    <row r="389" spans="1:7" ht="30" x14ac:dyDescent="0.25">
      <c r="A389" s="104" t="s">
        <v>353</v>
      </c>
      <c r="B389" s="17" t="s">
        <v>360</v>
      </c>
      <c r="C389" s="18" t="s">
        <v>354</v>
      </c>
      <c r="D389" s="18"/>
      <c r="E389" s="31">
        <f>E390</f>
        <v>8747.4</v>
      </c>
      <c r="F389" s="31">
        <f t="shared" ref="F389:G390" si="85">F390</f>
        <v>0</v>
      </c>
      <c r="G389" s="31">
        <f t="shared" si="85"/>
        <v>0</v>
      </c>
    </row>
    <row r="390" spans="1:7" ht="30" x14ac:dyDescent="0.25">
      <c r="A390" s="38" t="s">
        <v>546</v>
      </c>
      <c r="B390" s="17" t="s">
        <v>360</v>
      </c>
      <c r="C390" s="18" t="s">
        <v>547</v>
      </c>
      <c r="D390" s="18"/>
      <c r="E390" s="31">
        <f>E391</f>
        <v>8747.4</v>
      </c>
      <c r="F390" s="31">
        <f t="shared" si="85"/>
        <v>0</v>
      </c>
      <c r="G390" s="31">
        <f t="shared" si="85"/>
        <v>0</v>
      </c>
    </row>
    <row r="391" spans="1:7" ht="30" x14ac:dyDescent="0.25">
      <c r="A391" s="104" t="s">
        <v>66</v>
      </c>
      <c r="B391" s="17" t="s">
        <v>360</v>
      </c>
      <c r="C391" s="18" t="s">
        <v>547</v>
      </c>
      <c r="D391" s="18" t="s">
        <v>339</v>
      </c>
      <c r="E391" s="31">
        <f>1703.6+7043.8</f>
        <v>8747.4</v>
      </c>
      <c r="F391" s="31">
        <v>0</v>
      </c>
      <c r="G391" s="31">
        <v>0</v>
      </c>
    </row>
    <row r="392" spans="1:7" ht="45" x14ac:dyDescent="0.25">
      <c r="A392" s="67" t="s">
        <v>340</v>
      </c>
      <c r="B392" s="17" t="s">
        <v>360</v>
      </c>
      <c r="C392" s="37" t="s">
        <v>341</v>
      </c>
      <c r="D392" s="58"/>
      <c r="E392" s="31">
        <f>E393</f>
        <v>42</v>
      </c>
      <c r="F392" s="31">
        <f t="shared" ref="F392:G392" si="86">F393</f>
        <v>36</v>
      </c>
      <c r="G392" s="31">
        <f t="shared" si="86"/>
        <v>36</v>
      </c>
    </row>
    <row r="393" spans="1:7" ht="30" x14ac:dyDescent="0.25">
      <c r="A393" s="68" t="s">
        <v>342</v>
      </c>
      <c r="B393" s="17" t="s">
        <v>360</v>
      </c>
      <c r="C393" s="37" t="s">
        <v>343</v>
      </c>
      <c r="D393" s="58"/>
      <c r="E393" s="31">
        <f>E396+E394</f>
        <v>42</v>
      </c>
      <c r="F393" s="31">
        <f>F396</f>
        <v>36</v>
      </c>
      <c r="G393" s="31">
        <f>G396</f>
        <v>36</v>
      </c>
    </row>
    <row r="394" spans="1:7" ht="30" x14ac:dyDescent="0.25">
      <c r="A394" s="125" t="s">
        <v>357</v>
      </c>
      <c r="B394" s="17" t="s">
        <v>360</v>
      </c>
      <c r="C394" s="2" t="s">
        <v>358</v>
      </c>
      <c r="D394" s="19"/>
      <c r="E394" s="31">
        <f>E395</f>
        <v>6</v>
      </c>
      <c r="F394" s="31">
        <f t="shared" ref="F394:G394" si="87">F395</f>
        <v>0</v>
      </c>
      <c r="G394" s="31">
        <f t="shared" si="87"/>
        <v>0</v>
      </c>
    </row>
    <row r="395" spans="1:7" ht="30" x14ac:dyDescent="0.25">
      <c r="A395" s="104" t="s">
        <v>66</v>
      </c>
      <c r="B395" s="17" t="s">
        <v>360</v>
      </c>
      <c r="C395" s="2" t="s">
        <v>358</v>
      </c>
      <c r="D395" s="19">
        <v>600</v>
      </c>
      <c r="E395" s="31">
        <v>6</v>
      </c>
      <c r="F395" s="31">
        <v>0</v>
      </c>
      <c r="G395" s="31">
        <v>0</v>
      </c>
    </row>
    <row r="396" spans="1:7" ht="30" x14ac:dyDescent="0.25">
      <c r="A396" s="33" t="s">
        <v>344</v>
      </c>
      <c r="B396" s="17" t="s">
        <v>360</v>
      </c>
      <c r="C396" s="37" t="s">
        <v>345</v>
      </c>
      <c r="D396" s="58"/>
      <c r="E396" s="31">
        <f>E397</f>
        <v>36</v>
      </c>
      <c r="F396" s="31">
        <f t="shared" ref="F396:G396" si="88">F397</f>
        <v>36</v>
      </c>
      <c r="G396" s="31">
        <f t="shared" si="88"/>
        <v>36</v>
      </c>
    </row>
    <row r="397" spans="1:7" ht="30" x14ac:dyDescent="0.25">
      <c r="A397" s="1" t="s">
        <v>66</v>
      </c>
      <c r="B397" s="17" t="s">
        <v>360</v>
      </c>
      <c r="C397" s="37" t="s">
        <v>345</v>
      </c>
      <c r="D397" s="58">
        <v>600</v>
      </c>
      <c r="E397" s="31">
        <v>36</v>
      </c>
      <c r="F397" s="31">
        <v>36</v>
      </c>
      <c r="G397" s="31">
        <v>36</v>
      </c>
    </row>
    <row r="398" spans="1:7" ht="30" x14ac:dyDescent="0.25">
      <c r="A398" s="22" t="s">
        <v>390</v>
      </c>
      <c r="B398" s="17" t="s">
        <v>360</v>
      </c>
      <c r="C398" s="69" t="s">
        <v>391</v>
      </c>
      <c r="D398" s="18"/>
      <c r="E398" s="31">
        <f>SUM(E399)</f>
        <v>73344.900000000009</v>
      </c>
      <c r="F398" s="31">
        <f t="shared" ref="F398:G398" si="89">SUM(F399)</f>
        <v>77244.700000000012</v>
      </c>
      <c r="G398" s="31">
        <f t="shared" si="89"/>
        <v>79187.600000000006</v>
      </c>
    </row>
    <row r="399" spans="1:7" ht="30" x14ac:dyDescent="0.25">
      <c r="A399" s="1" t="s">
        <v>392</v>
      </c>
      <c r="B399" s="17" t="s">
        <v>360</v>
      </c>
      <c r="C399" s="18" t="s">
        <v>393</v>
      </c>
      <c r="D399" s="18"/>
      <c r="E399" s="31">
        <f>E400</f>
        <v>73344.900000000009</v>
      </c>
      <c r="F399" s="31">
        <f t="shared" ref="F399:G403" si="90">F400</f>
        <v>77244.700000000012</v>
      </c>
      <c r="G399" s="31">
        <f t="shared" si="90"/>
        <v>79187.600000000006</v>
      </c>
    </row>
    <row r="400" spans="1:7" ht="30" x14ac:dyDescent="0.25">
      <c r="A400" s="1" t="s">
        <v>394</v>
      </c>
      <c r="B400" s="17" t="s">
        <v>360</v>
      </c>
      <c r="C400" s="37" t="s">
        <v>395</v>
      </c>
      <c r="D400" s="18"/>
      <c r="E400" s="31">
        <f>E403+E401</f>
        <v>73344.900000000009</v>
      </c>
      <c r="F400" s="31">
        <f t="shared" ref="F400:G400" si="91">F403+F401</f>
        <v>77244.700000000012</v>
      </c>
      <c r="G400" s="31">
        <f t="shared" si="91"/>
        <v>79187.600000000006</v>
      </c>
    </row>
    <row r="401" spans="1:7" ht="30" x14ac:dyDescent="0.25">
      <c r="A401" s="125" t="s">
        <v>550</v>
      </c>
      <c r="B401" s="17" t="s">
        <v>360</v>
      </c>
      <c r="C401" s="101" t="s">
        <v>551</v>
      </c>
      <c r="D401" s="18"/>
      <c r="E401" s="31">
        <f>E402</f>
        <v>1000</v>
      </c>
      <c r="F401" s="31">
        <f t="shared" ref="F401:G401" si="92">F402</f>
        <v>0</v>
      </c>
      <c r="G401" s="31">
        <f t="shared" si="92"/>
        <v>0</v>
      </c>
    </row>
    <row r="402" spans="1:7" ht="30" x14ac:dyDescent="0.25">
      <c r="A402" s="104" t="s">
        <v>66</v>
      </c>
      <c r="B402" s="17" t="s">
        <v>360</v>
      </c>
      <c r="C402" s="101" t="s">
        <v>551</v>
      </c>
      <c r="D402" s="18" t="s">
        <v>339</v>
      </c>
      <c r="E402" s="31">
        <v>1000</v>
      </c>
      <c r="F402" s="31">
        <v>0</v>
      </c>
      <c r="G402" s="31">
        <v>0</v>
      </c>
    </row>
    <row r="403" spans="1:7" ht="30" x14ac:dyDescent="0.25">
      <c r="A403" s="22" t="s">
        <v>54</v>
      </c>
      <c r="B403" s="17" t="s">
        <v>360</v>
      </c>
      <c r="C403" s="18" t="s">
        <v>396</v>
      </c>
      <c r="D403" s="18"/>
      <c r="E403" s="31">
        <f>E404</f>
        <v>72344.900000000009</v>
      </c>
      <c r="F403" s="31">
        <f t="shared" si="90"/>
        <v>77244.700000000012</v>
      </c>
      <c r="G403" s="31">
        <f t="shared" si="90"/>
        <v>79187.600000000006</v>
      </c>
    </row>
    <row r="404" spans="1:7" ht="30" x14ac:dyDescent="0.25">
      <c r="A404" s="1" t="s">
        <v>66</v>
      </c>
      <c r="B404" s="17" t="s">
        <v>360</v>
      </c>
      <c r="C404" s="18" t="s">
        <v>396</v>
      </c>
      <c r="D404" s="18" t="s">
        <v>339</v>
      </c>
      <c r="E404" s="31">
        <f>67289.6+4961.3+94</f>
        <v>72344.900000000009</v>
      </c>
      <c r="F404" s="31">
        <f>70326.1+6918.6</f>
        <v>77244.700000000012</v>
      </c>
      <c r="G404" s="31">
        <f>72269+6918.6</f>
        <v>79187.600000000006</v>
      </c>
    </row>
    <row r="405" spans="1:7" x14ac:dyDescent="0.25">
      <c r="A405" s="10" t="s">
        <v>470</v>
      </c>
      <c r="B405" s="11" t="s">
        <v>181</v>
      </c>
      <c r="C405" s="16"/>
      <c r="D405" s="11"/>
      <c r="E405" s="14">
        <f>E406+E416</f>
        <v>28177.599999999999</v>
      </c>
      <c r="F405" s="14">
        <f t="shared" ref="F405:G405" si="93">F406+F416</f>
        <v>26708.6</v>
      </c>
      <c r="G405" s="14">
        <f t="shared" si="93"/>
        <v>25742.1</v>
      </c>
    </row>
    <row r="406" spans="1:7" ht="30" x14ac:dyDescent="0.25">
      <c r="A406" s="1" t="s">
        <v>182</v>
      </c>
      <c r="B406" s="17" t="s">
        <v>181</v>
      </c>
      <c r="C406" s="18" t="s">
        <v>183</v>
      </c>
      <c r="D406" s="17"/>
      <c r="E406" s="31">
        <f>SUM(E407+E413)</f>
        <v>13520.599999999999</v>
      </c>
      <c r="F406" s="31">
        <f t="shared" ref="F406:G406" si="94">SUM(F407+F413)</f>
        <v>12559.3</v>
      </c>
      <c r="G406" s="31">
        <f t="shared" si="94"/>
        <v>12817.699999999999</v>
      </c>
    </row>
    <row r="407" spans="1:7" ht="30" x14ac:dyDescent="0.25">
      <c r="A407" s="1" t="s">
        <v>184</v>
      </c>
      <c r="B407" s="17" t="s">
        <v>181</v>
      </c>
      <c r="C407" s="18" t="s">
        <v>185</v>
      </c>
      <c r="D407" s="19"/>
      <c r="E407" s="31">
        <f>SUM(E408+E410)</f>
        <v>2201.1999999999998</v>
      </c>
      <c r="F407" s="31">
        <f t="shared" ref="F407:G407" si="95">SUM(F408+F410)</f>
        <v>1758.3000000000002</v>
      </c>
      <c r="G407" s="31">
        <f t="shared" si="95"/>
        <v>1754.5</v>
      </c>
    </row>
    <row r="408" spans="1:7" x14ac:dyDescent="0.25">
      <c r="A408" s="1" t="s">
        <v>468</v>
      </c>
      <c r="B408" s="17" t="s">
        <v>181</v>
      </c>
      <c r="C408" s="18" t="s">
        <v>186</v>
      </c>
      <c r="D408" s="19"/>
      <c r="E408" s="31">
        <f>E409</f>
        <v>1528.6999999999998</v>
      </c>
      <c r="F408" s="31">
        <v>1358.3000000000002</v>
      </c>
      <c r="G408" s="31">
        <v>1354.5</v>
      </c>
    </row>
    <row r="409" spans="1:7" ht="30" x14ac:dyDescent="0.25">
      <c r="A409" s="1" t="s">
        <v>21</v>
      </c>
      <c r="B409" s="17" t="s">
        <v>181</v>
      </c>
      <c r="C409" s="18" t="s">
        <v>186</v>
      </c>
      <c r="D409" s="19">
        <v>200</v>
      </c>
      <c r="E409" s="31">
        <f>558.4+970.3</f>
        <v>1528.6999999999998</v>
      </c>
      <c r="F409" s="31">
        <v>1358.3000000000002</v>
      </c>
      <c r="G409" s="31">
        <v>1354.5</v>
      </c>
    </row>
    <row r="410" spans="1:7" x14ac:dyDescent="0.25">
      <c r="A410" s="46" t="s">
        <v>187</v>
      </c>
      <c r="B410" s="17" t="s">
        <v>181</v>
      </c>
      <c r="C410" s="18" t="s">
        <v>188</v>
      </c>
      <c r="D410" s="19"/>
      <c r="E410" s="31">
        <f>E411+E412</f>
        <v>672.5</v>
      </c>
      <c r="F410" s="31">
        <f t="shared" ref="F410:G410" si="96">F411+F412</f>
        <v>400</v>
      </c>
      <c r="G410" s="31">
        <f t="shared" si="96"/>
        <v>400</v>
      </c>
    </row>
    <row r="411" spans="1:7" x14ac:dyDescent="0.25">
      <c r="A411" s="1" t="s">
        <v>29</v>
      </c>
      <c r="B411" s="17" t="s">
        <v>181</v>
      </c>
      <c r="C411" s="18" t="s">
        <v>188</v>
      </c>
      <c r="D411" s="19">
        <v>300</v>
      </c>
      <c r="E411" s="31">
        <f>80.5+329.7</f>
        <v>410.2</v>
      </c>
      <c r="F411" s="31">
        <v>100</v>
      </c>
      <c r="G411" s="31">
        <v>100</v>
      </c>
    </row>
    <row r="412" spans="1:7" ht="30" x14ac:dyDescent="0.25">
      <c r="A412" s="104" t="s">
        <v>66</v>
      </c>
      <c r="B412" s="17" t="s">
        <v>181</v>
      </c>
      <c r="C412" s="18" t="s">
        <v>188</v>
      </c>
      <c r="D412" s="19">
        <v>600</v>
      </c>
      <c r="E412" s="31">
        <v>262.3</v>
      </c>
      <c r="F412" s="31">
        <v>300</v>
      </c>
      <c r="G412" s="31">
        <v>300</v>
      </c>
    </row>
    <row r="413" spans="1:7" ht="30" x14ac:dyDescent="0.25">
      <c r="A413" s="1" t="s">
        <v>189</v>
      </c>
      <c r="B413" s="17" t="s">
        <v>181</v>
      </c>
      <c r="C413" s="18" t="s">
        <v>190</v>
      </c>
      <c r="D413" s="19"/>
      <c r="E413" s="31">
        <f>E414</f>
        <v>11319.4</v>
      </c>
      <c r="F413" s="31">
        <f t="shared" ref="F413:G414" si="97">F414</f>
        <v>10801</v>
      </c>
      <c r="G413" s="31">
        <f t="shared" si="97"/>
        <v>11063.199999999999</v>
      </c>
    </row>
    <row r="414" spans="1:7" ht="30" x14ac:dyDescent="0.25">
      <c r="A414" s="1" t="s">
        <v>64</v>
      </c>
      <c r="B414" s="17" t="s">
        <v>181</v>
      </c>
      <c r="C414" s="18" t="s">
        <v>191</v>
      </c>
      <c r="D414" s="19"/>
      <c r="E414" s="31">
        <f>E415</f>
        <v>11319.4</v>
      </c>
      <c r="F414" s="31">
        <f t="shared" si="97"/>
        <v>10801</v>
      </c>
      <c r="G414" s="31">
        <f t="shared" si="97"/>
        <v>11063.199999999999</v>
      </c>
    </row>
    <row r="415" spans="1:7" ht="30" x14ac:dyDescent="0.25">
      <c r="A415" s="1" t="s">
        <v>66</v>
      </c>
      <c r="B415" s="17" t="s">
        <v>181</v>
      </c>
      <c r="C415" s="18" t="s">
        <v>191</v>
      </c>
      <c r="D415" s="19">
        <v>600</v>
      </c>
      <c r="E415" s="31">
        <f>9540.8+1778.6</f>
        <v>11319.4</v>
      </c>
      <c r="F415" s="31">
        <f>10312.7+488.3</f>
        <v>10801</v>
      </c>
      <c r="G415" s="31">
        <f>10574.9+488.3</f>
        <v>11063.199999999999</v>
      </c>
    </row>
    <row r="416" spans="1:7" ht="30" x14ac:dyDescent="0.25">
      <c r="A416" s="1" t="s">
        <v>332</v>
      </c>
      <c r="B416" s="17" t="s">
        <v>181</v>
      </c>
      <c r="C416" s="18" t="s">
        <v>333</v>
      </c>
      <c r="D416" s="19"/>
      <c r="E416" s="31">
        <f>SUM(E417)</f>
        <v>14657</v>
      </c>
      <c r="F416" s="31">
        <f t="shared" ref="F416:G417" si="98">SUM(F417)</f>
        <v>14149.3</v>
      </c>
      <c r="G416" s="31">
        <f t="shared" si="98"/>
        <v>12924.4</v>
      </c>
    </row>
    <row r="417" spans="1:7" x14ac:dyDescent="0.25">
      <c r="A417" s="23" t="s">
        <v>361</v>
      </c>
      <c r="B417" s="18" t="s">
        <v>181</v>
      </c>
      <c r="C417" s="18" t="s">
        <v>362</v>
      </c>
      <c r="D417" s="27"/>
      <c r="E417" s="31">
        <f>SUM(E418)</f>
        <v>14657</v>
      </c>
      <c r="F417" s="31">
        <f t="shared" si="98"/>
        <v>14149.3</v>
      </c>
      <c r="G417" s="31">
        <f t="shared" si="98"/>
        <v>12924.4</v>
      </c>
    </row>
    <row r="418" spans="1:7" ht="30" x14ac:dyDescent="0.25">
      <c r="A418" s="46" t="s">
        <v>363</v>
      </c>
      <c r="B418" s="37" t="s">
        <v>181</v>
      </c>
      <c r="C418" s="37" t="s">
        <v>364</v>
      </c>
      <c r="D418" s="27"/>
      <c r="E418" s="31">
        <f>SUM(E419+E421+E424)</f>
        <v>14657</v>
      </c>
      <c r="F418" s="31">
        <f>SUM(F419+F421+F424)</f>
        <v>14149.3</v>
      </c>
      <c r="G418" s="31">
        <f>SUM(G419+G421+G424)</f>
        <v>12924.4</v>
      </c>
    </row>
    <row r="419" spans="1:7" ht="30" x14ac:dyDescent="0.25">
      <c r="A419" s="23" t="s">
        <v>365</v>
      </c>
      <c r="B419" s="18" t="s">
        <v>181</v>
      </c>
      <c r="C419" s="18" t="s">
        <v>366</v>
      </c>
      <c r="D419" s="27"/>
      <c r="E419" s="31">
        <f>E420</f>
        <v>1000</v>
      </c>
      <c r="F419" s="31">
        <f t="shared" ref="F419:G419" si="99">F420</f>
        <v>1000</v>
      </c>
      <c r="G419" s="31">
        <f t="shared" si="99"/>
        <v>1000</v>
      </c>
    </row>
    <row r="420" spans="1:7" ht="30" x14ac:dyDescent="0.25">
      <c r="A420" s="1" t="s">
        <v>66</v>
      </c>
      <c r="B420" s="17" t="s">
        <v>181</v>
      </c>
      <c r="C420" s="18" t="s">
        <v>366</v>
      </c>
      <c r="D420" s="19">
        <v>600</v>
      </c>
      <c r="E420" s="31">
        <f>375.3+624.7</f>
        <v>1000</v>
      </c>
      <c r="F420" s="31">
        <v>1000</v>
      </c>
      <c r="G420" s="31">
        <v>1000</v>
      </c>
    </row>
    <row r="421" spans="1:7" ht="45" x14ac:dyDescent="0.25">
      <c r="A421" s="1" t="s">
        <v>367</v>
      </c>
      <c r="B421" s="17" t="s">
        <v>181</v>
      </c>
      <c r="C421" s="18" t="s">
        <v>368</v>
      </c>
      <c r="D421" s="19"/>
      <c r="E421" s="31">
        <f>SUM(E422:E423)</f>
        <v>4929</v>
      </c>
      <c r="F421" s="31">
        <f>SUM(F422:F423)</f>
        <v>6541.2</v>
      </c>
      <c r="G421" s="31">
        <f>SUM(G422:G423)</f>
        <v>6524.9</v>
      </c>
    </row>
    <row r="422" spans="1:7" x14ac:dyDescent="0.25">
      <c r="A422" s="1" t="s">
        <v>29</v>
      </c>
      <c r="B422" s="17" t="s">
        <v>181</v>
      </c>
      <c r="C422" s="18" t="s">
        <v>368</v>
      </c>
      <c r="D422" s="19">
        <v>300</v>
      </c>
      <c r="E422" s="31">
        <v>1191</v>
      </c>
      <c r="F422" s="31">
        <v>2413</v>
      </c>
      <c r="G422" s="31">
        <v>1839</v>
      </c>
    </row>
    <row r="423" spans="1:7" ht="30" x14ac:dyDescent="0.25">
      <c r="A423" s="1" t="s">
        <v>66</v>
      </c>
      <c r="B423" s="17" t="s">
        <v>181</v>
      </c>
      <c r="C423" s="18" t="s">
        <v>368</v>
      </c>
      <c r="D423" s="19">
        <v>600</v>
      </c>
      <c r="E423" s="31">
        <f>1833.5-624.7+2529.2</f>
        <v>3738</v>
      </c>
      <c r="F423" s="31">
        <v>4128.2</v>
      </c>
      <c r="G423" s="31">
        <v>4685.8999999999996</v>
      </c>
    </row>
    <row r="424" spans="1:7" ht="75" x14ac:dyDescent="0.25">
      <c r="A424" s="104" t="s">
        <v>487</v>
      </c>
      <c r="B424" s="17" t="s">
        <v>181</v>
      </c>
      <c r="C424" s="2" t="s">
        <v>488</v>
      </c>
      <c r="D424" s="19"/>
      <c r="E424" s="31">
        <f>SUM(E425:E427)</f>
        <v>8728</v>
      </c>
      <c r="F424" s="31">
        <f t="shared" ref="F424:G424" si="100">SUM(F425:F427)</f>
        <v>6608.0999999999995</v>
      </c>
      <c r="G424" s="31">
        <f t="shared" si="100"/>
        <v>5399.5</v>
      </c>
    </row>
    <row r="425" spans="1:7" ht="30" x14ac:dyDescent="0.25">
      <c r="A425" s="104" t="s">
        <v>21</v>
      </c>
      <c r="B425" s="17" t="s">
        <v>181</v>
      </c>
      <c r="C425" s="2" t="s">
        <v>488</v>
      </c>
      <c r="D425" s="19">
        <v>200</v>
      </c>
      <c r="E425" s="31">
        <f>0.5+4</f>
        <v>4.5</v>
      </c>
      <c r="F425" s="31">
        <v>0</v>
      </c>
      <c r="G425" s="31">
        <v>0</v>
      </c>
    </row>
    <row r="426" spans="1:7" x14ac:dyDescent="0.25">
      <c r="A426" s="104" t="s">
        <v>29</v>
      </c>
      <c r="B426" s="17" t="s">
        <v>181</v>
      </c>
      <c r="C426" s="2" t="s">
        <v>488</v>
      </c>
      <c r="D426" s="19">
        <v>300</v>
      </c>
      <c r="E426" s="31">
        <f>160.7+1200</f>
        <v>1360.7</v>
      </c>
      <c r="F426" s="31">
        <v>0</v>
      </c>
      <c r="G426" s="31">
        <v>0</v>
      </c>
    </row>
    <row r="427" spans="1:7" ht="30" x14ac:dyDescent="0.25">
      <c r="A427" s="1" t="s">
        <v>66</v>
      </c>
      <c r="B427" s="17" t="s">
        <v>181</v>
      </c>
      <c r="C427" s="2" t="s">
        <v>488</v>
      </c>
      <c r="D427" s="19">
        <v>600</v>
      </c>
      <c r="E427" s="31">
        <f>5314.1-2.3+909.8+1141.2</f>
        <v>7362.8</v>
      </c>
      <c r="F427" s="31">
        <f>6608.4-0.3</f>
        <v>6608.0999999999995</v>
      </c>
      <c r="G427" s="31">
        <f>5399.6-0.1</f>
        <v>5399.5</v>
      </c>
    </row>
    <row r="428" spans="1:7" x14ac:dyDescent="0.25">
      <c r="A428" s="10" t="s">
        <v>369</v>
      </c>
      <c r="B428" s="11" t="s">
        <v>370</v>
      </c>
      <c r="C428" s="70"/>
      <c r="D428" s="13"/>
      <c r="E428" s="51">
        <f>SUM(E429)</f>
        <v>74109.7</v>
      </c>
      <c r="F428" s="51">
        <f t="shared" ref="F428:G428" si="101">SUM(F429)</f>
        <v>76944.900000000009</v>
      </c>
      <c r="G428" s="51">
        <f t="shared" si="101"/>
        <v>78869.499999999985</v>
      </c>
    </row>
    <row r="429" spans="1:7" ht="30" x14ac:dyDescent="0.25">
      <c r="A429" s="1" t="s">
        <v>332</v>
      </c>
      <c r="B429" s="18" t="s">
        <v>370</v>
      </c>
      <c r="C429" s="18" t="s">
        <v>333</v>
      </c>
      <c r="D429" s="27"/>
      <c r="E429" s="52">
        <f>SUM(E430+E438)</f>
        <v>74109.7</v>
      </c>
      <c r="F429" s="52">
        <f t="shared" ref="F429:G429" si="102">SUM(F430+F438)</f>
        <v>76944.900000000009</v>
      </c>
      <c r="G429" s="52">
        <f t="shared" si="102"/>
        <v>78869.499999999985</v>
      </c>
    </row>
    <row r="430" spans="1:7" x14ac:dyDescent="0.25">
      <c r="A430" s="23" t="s">
        <v>361</v>
      </c>
      <c r="B430" s="18" t="s">
        <v>370</v>
      </c>
      <c r="C430" s="37" t="s">
        <v>362</v>
      </c>
      <c r="D430" s="27"/>
      <c r="E430" s="52">
        <f>SUM(E431+E435)</f>
        <v>6386.8</v>
      </c>
      <c r="F430" s="52">
        <f t="shared" ref="F430:G430" si="103">SUM(F431+F435)</f>
        <v>6773.8</v>
      </c>
      <c r="G430" s="52">
        <f t="shared" si="103"/>
        <v>6770.9000000000005</v>
      </c>
    </row>
    <row r="431" spans="1:7" ht="30" x14ac:dyDescent="0.25">
      <c r="A431" s="46" t="s">
        <v>371</v>
      </c>
      <c r="B431" s="18" t="s">
        <v>370</v>
      </c>
      <c r="C431" s="37" t="s">
        <v>372</v>
      </c>
      <c r="D431" s="27"/>
      <c r="E431" s="52">
        <f>SUM(E432)</f>
        <v>6386.8</v>
      </c>
      <c r="F431" s="52">
        <f t="shared" ref="F431:G431" si="104">SUM(F432)</f>
        <v>6386.8</v>
      </c>
      <c r="G431" s="52">
        <f t="shared" si="104"/>
        <v>6386.8</v>
      </c>
    </row>
    <row r="432" spans="1:7" ht="90" x14ac:dyDescent="0.25">
      <c r="A432" s="1" t="s">
        <v>373</v>
      </c>
      <c r="B432" s="18" t="s">
        <v>370</v>
      </c>
      <c r="C432" s="37" t="s">
        <v>374</v>
      </c>
      <c r="D432" s="27"/>
      <c r="E432" s="56">
        <f>SUM(E433:E434)</f>
        <v>6386.8</v>
      </c>
      <c r="F432" s="56">
        <f t="shared" ref="F432:G432" si="105">SUM(F433:F434)</f>
        <v>6386.8</v>
      </c>
      <c r="G432" s="56">
        <f t="shared" si="105"/>
        <v>6386.8</v>
      </c>
    </row>
    <row r="433" spans="1:7" ht="60" x14ac:dyDescent="0.25">
      <c r="A433" s="1" t="s">
        <v>14</v>
      </c>
      <c r="B433" s="18" t="s">
        <v>370</v>
      </c>
      <c r="C433" s="37" t="s">
        <v>374</v>
      </c>
      <c r="D433" s="58">
        <v>100</v>
      </c>
      <c r="E433" s="31">
        <v>5862.2</v>
      </c>
      <c r="F433" s="31">
        <v>5862.2</v>
      </c>
      <c r="G433" s="31">
        <v>6042.1</v>
      </c>
    </row>
    <row r="434" spans="1:7" ht="30" x14ac:dyDescent="0.25">
      <c r="A434" s="1" t="s">
        <v>21</v>
      </c>
      <c r="B434" s="17" t="s">
        <v>370</v>
      </c>
      <c r="C434" s="37" t="s">
        <v>374</v>
      </c>
      <c r="D434" s="58">
        <v>200</v>
      </c>
      <c r="E434" s="31">
        <v>524.6</v>
      </c>
      <c r="F434" s="31">
        <v>524.6</v>
      </c>
      <c r="G434" s="31">
        <f>524.6-179.9</f>
        <v>344.70000000000005</v>
      </c>
    </row>
    <row r="435" spans="1:7" x14ac:dyDescent="0.25">
      <c r="A435" s="116" t="s">
        <v>517</v>
      </c>
      <c r="B435" s="17" t="s">
        <v>370</v>
      </c>
      <c r="C435" s="2" t="s">
        <v>519</v>
      </c>
      <c r="D435" s="115"/>
      <c r="E435" s="31">
        <v>0</v>
      </c>
      <c r="F435" s="31">
        <f>F436</f>
        <v>387</v>
      </c>
      <c r="G435" s="31">
        <f>G436</f>
        <v>384.1</v>
      </c>
    </row>
    <row r="436" spans="1:7" ht="30" x14ac:dyDescent="0.25">
      <c r="A436" s="116" t="s">
        <v>518</v>
      </c>
      <c r="B436" s="17" t="s">
        <v>370</v>
      </c>
      <c r="C436" s="2" t="s">
        <v>520</v>
      </c>
      <c r="D436" s="115"/>
      <c r="E436" s="31">
        <v>0</v>
      </c>
      <c r="F436" s="31">
        <f>F437</f>
        <v>387</v>
      </c>
      <c r="G436" s="31">
        <f>G437</f>
        <v>384.1</v>
      </c>
    </row>
    <row r="437" spans="1:7" ht="30" x14ac:dyDescent="0.25">
      <c r="A437" s="104" t="s">
        <v>21</v>
      </c>
      <c r="B437" s="17" t="s">
        <v>370</v>
      </c>
      <c r="C437" s="2" t="s">
        <v>520</v>
      </c>
      <c r="D437" s="115">
        <v>200</v>
      </c>
      <c r="E437" s="31">
        <v>0</v>
      </c>
      <c r="F437" s="31">
        <v>387</v>
      </c>
      <c r="G437" s="31">
        <v>384.1</v>
      </c>
    </row>
    <row r="438" spans="1:7" ht="45" x14ac:dyDescent="0.25">
      <c r="A438" s="1" t="s">
        <v>375</v>
      </c>
      <c r="B438" s="17" t="s">
        <v>370</v>
      </c>
      <c r="C438" s="37" t="s">
        <v>341</v>
      </c>
      <c r="D438" s="19"/>
      <c r="E438" s="31">
        <f>SUM(E439+E449)</f>
        <v>67722.899999999994</v>
      </c>
      <c r="F438" s="31">
        <f t="shared" ref="F438:G438" si="106">SUM(F439+F449)</f>
        <v>70171.100000000006</v>
      </c>
      <c r="G438" s="31">
        <f t="shared" si="106"/>
        <v>72098.599999999991</v>
      </c>
    </row>
    <row r="439" spans="1:7" ht="30" x14ac:dyDescent="0.25">
      <c r="A439" s="1" t="s">
        <v>376</v>
      </c>
      <c r="B439" s="17" t="s">
        <v>370</v>
      </c>
      <c r="C439" s="37" t="s">
        <v>377</v>
      </c>
      <c r="D439" s="19"/>
      <c r="E439" s="31">
        <f>SUM(E440+E444)</f>
        <v>67707.899999999994</v>
      </c>
      <c r="F439" s="31">
        <f>SUM(F440+F444)</f>
        <v>69706.100000000006</v>
      </c>
      <c r="G439" s="31">
        <f>SUM(G440+G444)</f>
        <v>71633.599999999991</v>
      </c>
    </row>
    <row r="440" spans="1:7" ht="30" x14ac:dyDescent="0.25">
      <c r="A440" s="23" t="s">
        <v>42</v>
      </c>
      <c r="B440" s="17" t="s">
        <v>370</v>
      </c>
      <c r="C440" s="2" t="s">
        <v>378</v>
      </c>
      <c r="D440" s="19"/>
      <c r="E440" s="31">
        <f>SUM(E441:E443)</f>
        <v>21034.699999999997</v>
      </c>
      <c r="F440" s="31">
        <f>SUM(F441:F443)</f>
        <v>21571.8</v>
      </c>
      <c r="G440" s="31">
        <f>SUM(G441:G443)</f>
        <v>22165.7</v>
      </c>
    </row>
    <row r="441" spans="1:7" ht="60" x14ac:dyDescent="0.25">
      <c r="A441" s="1" t="s">
        <v>14</v>
      </c>
      <c r="B441" s="17" t="s">
        <v>370</v>
      </c>
      <c r="C441" s="2" t="s">
        <v>378</v>
      </c>
      <c r="D441" s="19">
        <v>100</v>
      </c>
      <c r="E441" s="31">
        <f>19964+320.1</f>
        <v>20284.099999999999</v>
      </c>
      <c r="F441" s="31">
        <v>20163.099999999999</v>
      </c>
      <c r="G441" s="31">
        <v>20760.2</v>
      </c>
    </row>
    <row r="442" spans="1:7" ht="30" x14ac:dyDescent="0.25">
      <c r="A442" s="1" t="s">
        <v>21</v>
      </c>
      <c r="B442" s="17" t="s">
        <v>370</v>
      </c>
      <c r="C442" s="2" t="s">
        <v>378</v>
      </c>
      <c r="D442" s="19">
        <v>200</v>
      </c>
      <c r="E442" s="31">
        <f>688.8+55</f>
        <v>743.8</v>
      </c>
      <c r="F442" s="31">
        <v>1401.9</v>
      </c>
      <c r="G442" s="31">
        <v>1398.6999999999998</v>
      </c>
    </row>
    <row r="443" spans="1:7" x14ac:dyDescent="0.25">
      <c r="A443" s="22" t="s">
        <v>22</v>
      </c>
      <c r="B443" s="17" t="s">
        <v>370</v>
      </c>
      <c r="C443" s="2" t="s">
        <v>378</v>
      </c>
      <c r="D443" s="19">
        <v>800</v>
      </c>
      <c r="E443" s="31">
        <v>6.8</v>
      </c>
      <c r="F443" s="31">
        <v>6.8</v>
      </c>
      <c r="G443" s="31">
        <v>6.8</v>
      </c>
    </row>
    <row r="444" spans="1:7" ht="30" x14ac:dyDescent="0.25">
      <c r="A444" s="22" t="s">
        <v>54</v>
      </c>
      <c r="B444" s="17" t="s">
        <v>370</v>
      </c>
      <c r="C444" s="2" t="s">
        <v>379</v>
      </c>
      <c r="D444" s="19"/>
      <c r="E444" s="31">
        <f>SUM(E445:E448)</f>
        <v>46673.19999999999</v>
      </c>
      <c r="F444" s="31">
        <f t="shared" ref="F444:G444" si="107">SUM(F445:F448)</f>
        <v>48134.3</v>
      </c>
      <c r="G444" s="31">
        <f t="shared" si="107"/>
        <v>49467.899999999994</v>
      </c>
    </row>
    <row r="445" spans="1:7" ht="60" x14ac:dyDescent="0.25">
      <c r="A445" s="1" t="s">
        <v>14</v>
      </c>
      <c r="B445" s="17" t="s">
        <v>370</v>
      </c>
      <c r="C445" s="2" t="s">
        <v>379</v>
      </c>
      <c r="D445" s="19">
        <v>100</v>
      </c>
      <c r="E445" s="31">
        <f>40263.2+32.2</f>
        <v>40295.399999999994</v>
      </c>
      <c r="F445" s="31">
        <v>40665.800000000003</v>
      </c>
      <c r="G445" s="31">
        <v>41873.300000000003</v>
      </c>
    </row>
    <row r="446" spans="1:7" ht="30" x14ac:dyDescent="0.25">
      <c r="A446" s="1" t="s">
        <v>21</v>
      </c>
      <c r="B446" s="17" t="s">
        <v>370</v>
      </c>
      <c r="C446" s="2" t="s">
        <v>379</v>
      </c>
      <c r="D446" s="19">
        <v>200</v>
      </c>
      <c r="E446" s="31">
        <f>1281.9+211</f>
        <v>1492.9</v>
      </c>
      <c r="F446" s="31">
        <v>2511</v>
      </c>
      <c r="G446" s="31">
        <v>2505.6</v>
      </c>
    </row>
    <row r="447" spans="1:7" ht="30" x14ac:dyDescent="0.25">
      <c r="A447" s="1" t="s">
        <v>66</v>
      </c>
      <c r="B447" s="17" t="s">
        <v>370</v>
      </c>
      <c r="C447" s="2" t="s">
        <v>379</v>
      </c>
      <c r="D447" s="19">
        <v>600</v>
      </c>
      <c r="E447" s="31">
        <f>5086.7-215</f>
        <v>4871.7</v>
      </c>
      <c r="F447" s="31">
        <f>5796.3-465-387</f>
        <v>4944.3</v>
      </c>
      <c r="G447" s="31">
        <f>5924.9-465-384.1</f>
        <v>5075.7999999999993</v>
      </c>
    </row>
    <row r="448" spans="1:7" x14ac:dyDescent="0.25">
      <c r="A448" s="22" t="s">
        <v>22</v>
      </c>
      <c r="B448" s="17" t="s">
        <v>370</v>
      </c>
      <c r="C448" s="2" t="s">
        <v>379</v>
      </c>
      <c r="D448" s="19">
        <v>800</v>
      </c>
      <c r="E448" s="31">
        <v>13.2</v>
      </c>
      <c r="F448" s="31">
        <v>13.2</v>
      </c>
      <c r="G448" s="31">
        <v>13.2</v>
      </c>
    </row>
    <row r="449" spans="1:7" ht="30" x14ac:dyDescent="0.25">
      <c r="A449" s="125" t="s">
        <v>521</v>
      </c>
      <c r="B449" s="17" t="s">
        <v>370</v>
      </c>
      <c r="C449" s="2" t="s">
        <v>343</v>
      </c>
      <c r="D449" s="19"/>
      <c r="E449" s="31">
        <f>E450</f>
        <v>15</v>
      </c>
      <c r="F449" s="31">
        <f t="shared" ref="F449:G450" si="108">F450</f>
        <v>465</v>
      </c>
      <c r="G449" s="31">
        <f t="shared" si="108"/>
        <v>465</v>
      </c>
    </row>
    <row r="450" spans="1:7" ht="30" x14ac:dyDescent="0.25">
      <c r="A450" s="125" t="s">
        <v>357</v>
      </c>
      <c r="B450" s="17" t="s">
        <v>370</v>
      </c>
      <c r="C450" s="2" t="s">
        <v>358</v>
      </c>
      <c r="D450" s="19"/>
      <c r="E450" s="31">
        <f>E451</f>
        <v>15</v>
      </c>
      <c r="F450" s="31">
        <f t="shared" si="108"/>
        <v>465</v>
      </c>
      <c r="G450" s="31">
        <f t="shared" si="108"/>
        <v>465</v>
      </c>
    </row>
    <row r="451" spans="1:7" ht="30" x14ac:dyDescent="0.25">
      <c r="A451" s="104" t="s">
        <v>66</v>
      </c>
      <c r="B451" s="17" t="s">
        <v>370</v>
      </c>
      <c r="C451" s="2" t="s">
        <v>358</v>
      </c>
      <c r="D451" s="19">
        <v>600</v>
      </c>
      <c r="E451" s="31">
        <f>215-200</f>
        <v>15</v>
      </c>
      <c r="F451" s="31">
        <v>465</v>
      </c>
      <c r="G451" s="31">
        <v>465</v>
      </c>
    </row>
    <row r="452" spans="1:7" x14ac:dyDescent="0.25">
      <c r="A452" s="10" t="s">
        <v>397</v>
      </c>
      <c r="B452" s="11" t="s">
        <v>398</v>
      </c>
      <c r="C452" s="70"/>
      <c r="D452" s="13"/>
      <c r="E452" s="14">
        <f>SUM(E453+E463)</f>
        <v>211320.7</v>
      </c>
      <c r="F452" s="14">
        <f>SUM(F453+F463)</f>
        <v>209658.3</v>
      </c>
      <c r="G452" s="14">
        <f>SUM(G453+G463)</f>
        <v>214798.9</v>
      </c>
    </row>
    <row r="453" spans="1:7" x14ac:dyDescent="0.25">
      <c r="A453" s="10" t="s">
        <v>399</v>
      </c>
      <c r="B453" s="11" t="s">
        <v>400</v>
      </c>
      <c r="C453" s="16"/>
      <c r="D453" s="13"/>
      <c r="E453" s="14">
        <f>SUM(E454)</f>
        <v>168444.5</v>
      </c>
      <c r="F453" s="14">
        <f t="shared" ref="F453:G453" si="109">SUM(F454)</f>
        <v>173532.5</v>
      </c>
      <c r="G453" s="14">
        <f t="shared" si="109"/>
        <v>177766.39999999999</v>
      </c>
    </row>
    <row r="454" spans="1:7" ht="30" x14ac:dyDescent="0.25">
      <c r="A454" s="22" t="s">
        <v>390</v>
      </c>
      <c r="B454" s="17" t="s">
        <v>400</v>
      </c>
      <c r="C454" s="71" t="s">
        <v>391</v>
      </c>
      <c r="D454" s="19"/>
      <c r="E454" s="20">
        <f>E455+E459</f>
        <v>168444.5</v>
      </c>
      <c r="F454" s="20">
        <f>F455+F459</f>
        <v>173532.5</v>
      </c>
      <c r="G454" s="20">
        <f>G455+G459</f>
        <v>177766.39999999999</v>
      </c>
    </row>
    <row r="455" spans="1:7" x14ac:dyDescent="0.25">
      <c r="A455" s="1" t="s">
        <v>401</v>
      </c>
      <c r="B455" s="17" t="s">
        <v>400</v>
      </c>
      <c r="C455" s="2" t="s">
        <v>402</v>
      </c>
      <c r="D455" s="19"/>
      <c r="E455" s="20">
        <f>E456</f>
        <v>38625.199999999997</v>
      </c>
      <c r="F455" s="20">
        <f t="shared" ref="F455:G455" si="110">F456</f>
        <v>47933.700000000004</v>
      </c>
      <c r="G455" s="20">
        <f t="shared" si="110"/>
        <v>48991.200000000004</v>
      </c>
    </row>
    <row r="456" spans="1:7" x14ac:dyDescent="0.25">
      <c r="A456" s="1" t="s">
        <v>403</v>
      </c>
      <c r="B456" s="17" t="s">
        <v>400</v>
      </c>
      <c r="C456" s="2" t="s">
        <v>404</v>
      </c>
      <c r="D456" s="19"/>
      <c r="E456" s="20">
        <f>E457</f>
        <v>38625.199999999997</v>
      </c>
      <c r="F456" s="20">
        <f t="shared" ref="F456:G456" si="111">F457</f>
        <v>47933.700000000004</v>
      </c>
      <c r="G456" s="20">
        <f t="shared" si="111"/>
        <v>48991.200000000004</v>
      </c>
    </row>
    <row r="457" spans="1:7" ht="30" x14ac:dyDescent="0.25">
      <c r="A457" s="72" t="s">
        <v>54</v>
      </c>
      <c r="B457" s="17" t="s">
        <v>400</v>
      </c>
      <c r="C457" s="2" t="s">
        <v>405</v>
      </c>
      <c r="D457" s="19"/>
      <c r="E457" s="20">
        <f>E458</f>
        <v>38625.199999999997</v>
      </c>
      <c r="F457" s="20">
        <f t="shared" ref="F457:G457" si="112">F458</f>
        <v>47933.700000000004</v>
      </c>
      <c r="G457" s="20">
        <f t="shared" si="112"/>
        <v>48991.200000000004</v>
      </c>
    </row>
    <row r="458" spans="1:7" ht="30" x14ac:dyDescent="0.25">
      <c r="A458" s="1" t="s">
        <v>66</v>
      </c>
      <c r="B458" s="17" t="s">
        <v>400</v>
      </c>
      <c r="C458" s="2" t="s">
        <v>405</v>
      </c>
      <c r="D458" s="19">
        <v>600</v>
      </c>
      <c r="E458" s="31">
        <f>36466.1+1559+600.1</f>
        <v>38625.199999999997</v>
      </c>
      <c r="F458" s="31">
        <f>38059.8+9873.9</f>
        <v>47933.700000000004</v>
      </c>
      <c r="G458" s="31">
        <f>39117.3+9873.9</f>
        <v>48991.200000000004</v>
      </c>
    </row>
    <row r="459" spans="1:7" ht="30" x14ac:dyDescent="0.25">
      <c r="A459" s="1" t="s">
        <v>406</v>
      </c>
      <c r="B459" s="17" t="s">
        <v>400</v>
      </c>
      <c r="C459" s="2" t="s">
        <v>407</v>
      </c>
      <c r="D459" s="18"/>
      <c r="E459" s="20">
        <f>SUM(E460)</f>
        <v>129819.3</v>
      </c>
      <c r="F459" s="20">
        <f t="shared" ref="F459:G461" si="113">SUM(F460)</f>
        <v>125598.8</v>
      </c>
      <c r="G459" s="20">
        <f t="shared" si="113"/>
        <v>128775.2</v>
      </c>
    </row>
    <row r="460" spans="1:7" ht="30" x14ac:dyDescent="0.25">
      <c r="A460" s="1" t="s">
        <v>408</v>
      </c>
      <c r="B460" s="17" t="s">
        <v>400</v>
      </c>
      <c r="C460" s="2" t="s">
        <v>409</v>
      </c>
      <c r="D460" s="18"/>
      <c r="E460" s="20">
        <f>SUM(E461)</f>
        <v>129819.3</v>
      </c>
      <c r="F460" s="20">
        <f t="shared" si="113"/>
        <v>125598.8</v>
      </c>
      <c r="G460" s="20">
        <f t="shared" si="113"/>
        <v>128775.2</v>
      </c>
    </row>
    <row r="461" spans="1:7" ht="30" x14ac:dyDescent="0.25">
      <c r="A461" s="72" t="s">
        <v>54</v>
      </c>
      <c r="B461" s="17" t="s">
        <v>400</v>
      </c>
      <c r="C461" s="18" t="s">
        <v>410</v>
      </c>
      <c r="D461" s="18"/>
      <c r="E461" s="20">
        <f>SUM(E462)</f>
        <v>129819.3</v>
      </c>
      <c r="F461" s="20">
        <f t="shared" si="113"/>
        <v>125598.8</v>
      </c>
      <c r="G461" s="20">
        <f t="shared" si="113"/>
        <v>128775.2</v>
      </c>
    </row>
    <row r="462" spans="1:7" ht="30" x14ac:dyDescent="0.25">
      <c r="A462" s="1" t="s">
        <v>66</v>
      </c>
      <c r="B462" s="17" t="s">
        <v>400</v>
      </c>
      <c r="C462" s="18" t="s">
        <v>410</v>
      </c>
      <c r="D462" s="19">
        <v>600</v>
      </c>
      <c r="E462" s="31">
        <f>118174.3+6209.7+5435.3</f>
        <v>129819.3</v>
      </c>
      <c r="F462" s="31">
        <v>125598.8</v>
      </c>
      <c r="G462" s="31">
        <v>128775.2</v>
      </c>
    </row>
    <row r="463" spans="1:7" x14ac:dyDescent="0.25">
      <c r="A463" s="10" t="s">
        <v>411</v>
      </c>
      <c r="B463" s="11" t="s">
        <v>412</v>
      </c>
      <c r="C463" s="16"/>
      <c r="D463" s="16"/>
      <c r="E463" s="14">
        <f>SUM(E464)</f>
        <v>42876.200000000004</v>
      </c>
      <c r="F463" s="14">
        <f t="shared" ref="F463:G463" si="114">SUM(F464)</f>
        <v>36125.800000000003</v>
      </c>
      <c r="G463" s="14">
        <f t="shared" si="114"/>
        <v>37032.5</v>
      </c>
    </row>
    <row r="464" spans="1:7" ht="30" x14ac:dyDescent="0.25">
      <c r="A464" s="22" t="s">
        <v>390</v>
      </c>
      <c r="B464" s="17" t="s">
        <v>412</v>
      </c>
      <c r="C464" s="71" t="s">
        <v>391</v>
      </c>
      <c r="D464" s="18"/>
      <c r="E464" s="20">
        <f>E465+E470</f>
        <v>42876.200000000004</v>
      </c>
      <c r="F464" s="20">
        <f t="shared" ref="F464:G464" si="115">F465+F470</f>
        <v>36125.800000000003</v>
      </c>
      <c r="G464" s="20">
        <f t="shared" si="115"/>
        <v>37032.5</v>
      </c>
    </row>
    <row r="465" spans="1:7" x14ac:dyDescent="0.25">
      <c r="A465" s="38" t="s">
        <v>413</v>
      </c>
      <c r="B465" s="29" t="s">
        <v>412</v>
      </c>
      <c r="C465" s="29" t="s">
        <v>414</v>
      </c>
      <c r="D465" s="18"/>
      <c r="E465" s="31">
        <f>SUM(E466)</f>
        <v>413.5</v>
      </c>
      <c r="F465" s="31">
        <f t="shared" ref="F465:G466" si="116">SUM(F466)</f>
        <v>806.9</v>
      </c>
      <c r="G465" s="31">
        <f t="shared" si="116"/>
        <v>805.2</v>
      </c>
    </row>
    <row r="466" spans="1:7" ht="30" x14ac:dyDescent="0.25">
      <c r="A466" s="38" t="s">
        <v>415</v>
      </c>
      <c r="B466" s="29" t="s">
        <v>412</v>
      </c>
      <c r="C466" s="29" t="s">
        <v>416</v>
      </c>
      <c r="D466" s="18"/>
      <c r="E466" s="31">
        <f>SUM(E467)</f>
        <v>413.5</v>
      </c>
      <c r="F466" s="31">
        <f t="shared" si="116"/>
        <v>806.9</v>
      </c>
      <c r="G466" s="31">
        <f t="shared" si="116"/>
        <v>805.2</v>
      </c>
    </row>
    <row r="467" spans="1:7" x14ac:dyDescent="0.25">
      <c r="A467" s="1" t="s">
        <v>417</v>
      </c>
      <c r="B467" s="29" t="s">
        <v>412</v>
      </c>
      <c r="C467" s="29" t="s">
        <v>418</v>
      </c>
      <c r="D467" s="29"/>
      <c r="E467" s="31">
        <f>SUM(E468:E469)</f>
        <v>413.5</v>
      </c>
      <c r="F467" s="31">
        <f t="shared" ref="F467:G467" si="117">SUM(F468:F469)</f>
        <v>806.9</v>
      </c>
      <c r="G467" s="31">
        <f t="shared" si="117"/>
        <v>805.2</v>
      </c>
    </row>
    <row r="468" spans="1:7" ht="30" x14ac:dyDescent="0.25">
      <c r="A468" s="1" t="s">
        <v>21</v>
      </c>
      <c r="B468" s="29" t="s">
        <v>412</v>
      </c>
      <c r="C468" s="29" t="s">
        <v>418</v>
      </c>
      <c r="D468" s="18" t="s">
        <v>49</v>
      </c>
      <c r="E468" s="31">
        <f>162.9-3.7</f>
        <v>159.20000000000002</v>
      </c>
      <c r="F468" s="31">
        <v>344.6</v>
      </c>
      <c r="G468" s="31">
        <v>277.5</v>
      </c>
    </row>
    <row r="469" spans="1:7" ht="30" x14ac:dyDescent="0.25">
      <c r="A469" s="1" t="s">
        <v>66</v>
      </c>
      <c r="B469" s="29" t="s">
        <v>412</v>
      </c>
      <c r="C469" s="29" t="s">
        <v>418</v>
      </c>
      <c r="D469" s="45">
        <v>600</v>
      </c>
      <c r="E469" s="31">
        <f>250.6+3.7</f>
        <v>254.29999999999998</v>
      </c>
      <c r="F469" s="31">
        <v>462.29999999999995</v>
      </c>
      <c r="G469" s="31">
        <v>527.70000000000005</v>
      </c>
    </row>
    <row r="470" spans="1:7" ht="45" x14ac:dyDescent="0.25">
      <c r="A470" s="1" t="s">
        <v>419</v>
      </c>
      <c r="B470" s="17" t="s">
        <v>400</v>
      </c>
      <c r="C470" s="18" t="s">
        <v>420</v>
      </c>
      <c r="D470" s="19"/>
      <c r="E470" s="20">
        <f>E471+E478</f>
        <v>42462.700000000004</v>
      </c>
      <c r="F470" s="20">
        <f t="shared" ref="F470:G470" si="118">F471+F478</f>
        <v>35318.9</v>
      </c>
      <c r="G470" s="20">
        <f t="shared" si="118"/>
        <v>36227.300000000003</v>
      </c>
    </row>
    <row r="471" spans="1:7" x14ac:dyDescent="0.25">
      <c r="A471" s="1" t="s">
        <v>421</v>
      </c>
      <c r="B471" s="17" t="s">
        <v>412</v>
      </c>
      <c r="C471" s="18" t="s">
        <v>422</v>
      </c>
      <c r="D471" s="18"/>
      <c r="E471" s="31">
        <f>SUM(E472+E476)</f>
        <v>40566.400000000001</v>
      </c>
      <c r="F471" s="31">
        <f t="shared" ref="F471:G471" si="119">SUM(F472+F476)</f>
        <v>32109.600000000002</v>
      </c>
      <c r="G471" s="31">
        <f t="shared" si="119"/>
        <v>33023.800000000003</v>
      </c>
    </row>
    <row r="472" spans="1:7" ht="30" x14ac:dyDescent="0.25">
      <c r="A472" s="23" t="s">
        <v>42</v>
      </c>
      <c r="B472" s="17" t="s">
        <v>412</v>
      </c>
      <c r="C472" s="18" t="s">
        <v>423</v>
      </c>
      <c r="D472" s="18"/>
      <c r="E472" s="31">
        <f>SUM(E473:E475)</f>
        <v>6152.4</v>
      </c>
      <c r="F472" s="31">
        <f t="shared" ref="F472:G472" si="120">SUM(F473:F475)</f>
        <v>6235.7</v>
      </c>
      <c r="G472" s="31">
        <f t="shared" si="120"/>
        <v>6412.1</v>
      </c>
    </row>
    <row r="473" spans="1:7" ht="60" x14ac:dyDescent="0.25">
      <c r="A473" s="1" t="s">
        <v>14</v>
      </c>
      <c r="B473" s="17" t="s">
        <v>412</v>
      </c>
      <c r="C473" s="18" t="s">
        <v>423</v>
      </c>
      <c r="D473" s="18" t="s">
        <v>48</v>
      </c>
      <c r="E473" s="31">
        <f>5826.2+4.2</f>
        <v>5830.4</v>
      </c>
      <c r="F473" s="31">
        <v>5884.4</v>
      </c>
      <c r="G473" s="31">
        <v>6061.6</v>
      </c>
    </row>
    <row r="474" spans="1:7" ht="30" x14ac:dyDescent="0.25">
      <c r="A474" s="1" t="s">
        <v>21</v>
      </c>
      <c r="B474" s="17" t="s">
        <v>412</v>
      </c>
      <c r="C474" s="18" t="s">
        <v>423</v>
      </c>
      <c r="D474" s="18" t="s">
        <v>49</v>
      </c>
      <c r="E474" s="31">
        <f>179.2-4.2+145.3</f>
        <v>320.3</v>
      </c>
      <c r="F474" s="31">
        <v>349.6</v>
      </c>
      <c r="G474" s="31">
        <v>348.8</v>
      </c>
    </row>
    <row r="475" spans="1:7" x14ac:dyDescent="0.25">
      <c r="A475" s="22" t="s">
        <v>22</v>
      </c>
      <c r="B475" s="17" t="s">
        <v>412</v>
      </c>
      <c r="C475" s="18" t="s">
        <v>423</v>
      </c>
      <c r="D475" s="18" t="s">
        <v>424</v>
      </c>
      <c r="E475" s="31">
        <v>1.7</v>
      </c>
      <c r="F475" s="31">
        <v>1.7</v>
      </c>
      <c r="G475" s="31">
        <v>1.7</v>
      </c>
    </row>
    <row r="476" spans="1:7" ht="30" x14ac:dyDescent="0.25">
      <c r="A476" s="22" t="s">
        <v>54</v>
      </c>
      <c r="B476" s="17" t="s">
        <v>412</v>
      </c>
      <c r="C476" s="18" t="s">
        <v>425</v>
      </c>
      <c r="D476" s="18"/>
      <c r="E476" s="31">
        <f>E477</f>
        <v>34414</v>
      </c>
      <c r="F476" s="31">
        <f t="shared" ref="F476:G476" si="121">F477</f>
        <v>25873.9</v>
      </c>
      <c r="G476" s="31">
        <f t="shared" si="121"/>
        <v>26611.7</v>
      </c>
    </row>
    <row r="477" spans="1:7" ht="30" x14ac:dyDescent="0.25">
      <c r="A477" s="1" t="s">
        <v>66</v>
      </c>
      <c r="B477" s="17" t="s">
        <v>412</v>
      </c>
      <c r="C477" s="18" t="s">
        <v>425</v>
      </c>
      <c r="D477" s="18" t="s">
        <v>339</v>
      </c>
      <c r="E477" s="31">
        <f>25157.8+8805.8+450.4</f>
        <v>34414</v>
      </c>
      <c r="F477" s="31">
        <v>25873.9</v>
      </c>
      <c r="G477" s="31">
        <v>26611.7</v>
      </c>
    </row>
    <row r="478" spans="1:7" ht="30" x14ac:dyDescent="0.25">
      <c r="A478" s="1" t="s">
        <v>426</v>
      </c>
      <c r="B478" s="17" t="s">
        <v>412</v>
      </c>
      <c r="C478" s="18" t="s">
        <v>427</v>
      </c>
      <c r="D478" s="18"/>
      <c r="E478" s="31">
        <f>E479</f>
        <v>1896.3000000000002</v>
      </c>
      <c r="F478" s="31">
        <f t="shared" ref="F478:G478" si="122">F479</f>
        <v>3209.3</v>
      </c>
      <c r="G478" s="31">
        <f t="shared" si="122"/>
        <v>3203.5</v>
      </c>
    </row>
    <row r="479" spans="1:7" ht="30" x14ac:dyDescent="0.25">
      <c r="A479" s="22" t="s">
        <v>428</v>
      </c>
      <c r="B479" s="17" t="s">
        <v>412</v>
      </c>
      <c r="C479" s="18" t="s">
        <v>429</v>
      </c>
      <c r="D479" s="19"/>
      <c r="E479" s="31">
        <f>SUM(E480:E481)</f>
        <v>1896.3000000000002</v>
      </c>
      <c r="F479" s="31">
        <f t="shared" ref="F479:G479" si="123">SUM(F480:F481)</f>
        <v>3209.3</v>
      </c>
      <c r="G479" s="31">
        <f t="shared" si="123"/>
        <v>3203.5</v>
      </c>
    </row>
    <row r="480" spans="1:7" x14ac:dyDescent="0.25">
      <c r="A480" s="1" t="s">
        <v>29</v>
      </c>
      <c r="B480" s="17" t="s">
        <v>412</v>
      </c>
      <c r="C480" s="18" t="s">
        <v>429</v>
      </c>
      <c r="D480" s="19">
        <v>300</v>
      </c>
      <c r="E480" s="31">
        <v>516</v>
      </c>
      <c r="F480" s="31">
        <v>516</v>
      </c>
      <c r="G480" s="31">
        <v>516</v>
      </c>
    </row>
    <row r="481" spans="1:7" ht="30" x14ac:dyDescent="0.25">
      <c r="A481" s="1" t="s">
        <v>66</v>
      </c>
      <c r="B481" s="17" t="s">
        <v>412</v>
      </c>
      <c r="C481" s="18" t="s">
        <v>429</v>
      </c>
      <c r="D481" s="19">
        <v>600</v>
      </c>
      <c r="E481" s="31">
        <v>1380.3000000000002</v>
      </c>
      <c r="F481" s="31">
        <v>2693.3</v>
      </c>
      <c r="G481" s="31">
        <v>2687.5</v>
      </c>
    </row>
    <row r="482" spans="1:7" x14ac:dyDescent="0.25">
      <c r="A482" s="10" t="s">
        <v>30</v>
      </c>
      <c r="B482" s="11" t="s">
        <v>31</v>
      </c>
      <c r="C482" s="16"/>
      <c r="D482" s="13"/>
      <c r="E482" s="14">
        <f>SUM(E483+E487)+E511</f>
        <v>221020.40000000002</v>
      </c>
      <c r="F482" s="14">
        <f>SUM(F483+F487)+F511</f>
        <v>224466.3</v>
      </c>
      <c r="G482" s="14">
        <f>SUM(G483+G487)+G511</f>
        <v>224832.8</v>
      </c>
    </row>
    <row r="483" spans="1:7" x14ac:dyDescent="0.25">
      <c r="A483" s="10" t="s">
        <v>192</v>
      </c>
      <c r="B483" s="11" t="s">
        <v>193</v>
      </c>
      <c r="C483" s="16"/>
      <c r="D483" s="13"/>
      <c r="E483" s="14">
        <f>E484</f>
        <v>8578.1</v>
      </c>
      <c r="F483" s="14">
        <f t="shared" ref="F483:G485" si="124">F484</f>
        <v>8578.1</v>
      </c>
      <c r="G483" s="14">
        <f t="shared" si="124"/>
        <v>8578.1</v>
      </c>
    </row>
    <row r="484" spans="1:7" x14ac:dyDescent="0.25">
      <c r="A484" s="1" t="s">
        <v>10</v>
      </c>
      <c r="B484" s="17" t="s">
        <v>193</v>
      </c>
      <c r="C484" s="18" t="s">
        <v>11</v>
      </c>
      <c r="D484" s="19"/>
      <c r="E484" s="20">
        <f>E485</f>
        <v>8578.1</v>
      </c>
      <c r="F484" s="20">
        <f t="shared" si="124"/>
        <v>8578.1</v>
      </c>
      <c r="G484" s="20">
        <f t="shared" si="124"/>
        <v>8578.1</v>
      </c>
    </row>
    <row r="485" spans="1:7" x14ac:dyDescent="0.25">
      <c r="A485" s="1" t="s">
        <v>194</v>
      </c>
      <c r="B485" s="17" t="s">
        <v>193</v>
      </c>
      <c r="C485" s="18" t="s">
        <v>195</v>
      </c>
      <c r="D485" s="19"/>
      <c r="E485" s="20">
        <f>E486</f>
        <v>8578.1</v>
      </c>
      <c r="F485" s="20">
        <f t="shared" si="124"/>
        <v>8578.1</v>
      </c>
      <c r="G485" s="20">
        <f t="shared" si="124"/>
        <v>8578.1</v>
      </c>
    </row>
    <row r="486" spans="1:7" x14ac:dyDescent="0.25">
      <c r="A486" s="1" t="s">
        <v>29</v>
      </c>
      <c r="B486" s="17" t="s">
        <v>193</v>
      </c>
      <c r="C486" s="18" t="s">
        <v>195</v>
      </c>
      <c r="D486" s="19">
        <v>300</v>
      </c>
      <c r="E486" s="31">
        <v>8578.1</v>
      </c>
      <c r="F486" s="31">
        <v>8578.1</v>
      </c>
      <c r="G486" s="31">
        <v>8578.1</v>
      </c>
    </row>
    <row r="487" spans="1:7" x14ac:dyDescent="0.25">
      <c r="A487" s="10" t="s">
        <v>32</v>
      </c>
      <c r="B487" s="11" t="s">
        <v>33</v>
      </c>
      <c r="C487" s="16"/>
      <c r="D487" s="13"/>
      <c r="E487" s="14">
        <f>SUM(E488)+E499</f>
        <v>12390.9</v>
      </c>
      <c r="F487" s="14">
        <f>SUM(F488)+F499</f>
        <v>8647.5999999999985</v>
      </c>
      <c r="G487" s="14">
        <f>SUM(G488)+G499</f>
        <v>8809.7999999999993</v>
      </c>
    </row>
    <row r="488" spans="1:7" x14ac:dyDescent="0.25">
      <c r="A488" s="1" t="s">
        <v>10</v>
      </c>
      <c r="B488" s="17" t="s">
        <v>33</v>
      </c>
      <c r="C488" s="18" t="s">
        <v>11</v>
      </c>
      <c r="D488" s="19"/>
      <c r="E488" s="20">
        <f>E489+E491+E493+E495+E497</f>
        <v>6264.5</v>
      </c>
      <c r="F488" s="20">
        <f>F489+F491+F493+F495+F497</f>
        <v>7647.5999999999995</v>
      </c>
      <c r="G488" s="20">
        <f>G489+G491+G493+G495+G497</f>
        <v>7809.7999999999993</v>
      </c>
    </row>
    <row r="489" spans="1:7" ht="30" x14ac:dyDescent="0.25">
      <c r="A489" s="1" t="s">
        <v>196</v>
      </c>
      <c r="B489" s="17" t="s">
        <v>33</v>
      </c>
      <c r="C489" s="18" t="s">
        <v>197</v>
      </c>
      <c r="D489" s="19"/>
      <c r="E489" s="20">
        <f>E490</f>
        <v>1643.6</v>
      </c>
      <c r="F489" s="20">
        <f>F490</f>
        <v>1713.6</v>
      </c>
      <c r="G489" s="20">
        <f>G490</f>
        <v>1881.6</v>
      </c>
    </row>
    <row r="490" spans="1:7" x14ac:dyDescent="0.25">
      <c r="A490" s="1" t="s">
        <v>29</v>
      </c>
      <c r="B490" s="17" t="s">
        <v>33</v>
      </c>
      <c r="C490" s="18" t="s">
        <v>197</v>
      </c>
      <c r="D490" s="19">
        <v>300</v>
      </c>
      <c r="E490" s="31">
        <v>1643.6</v>
      </c>
      <c r="F490" s="31">
        <v>1713.6</v>
      </c>
      <c r="G490" s="31">
        <v>1881.6</v>
      </c>
    </row>
    <row r="491" spans="1:7" ht="45" x14ac:dyDescent="0.25">
      <c r="A491" s="1" t="s">
        <v>198</v>
      </c>
      <c r="B491" s="17" t="s">
        <v>33</v>
      </c>
      <c r="C491" s="18" t="s">
        <v>199</v>
      </c>
      <c r="D491" s="19"/>
      <c r="E491" s="20">
        <f>E492</f>
        <v>2953.2</v>
      </c>
      <c r="F491" s="20">
        <f>F492</f>
        <v>2953.2</v>
      </c>
      <c r="G491" s="20">
        <f>G492</f>
        <v>2953.2</v>
      </c>
    </row>
    <row r="492" spans="1:7" x14ac:dyDescent="0.25">
      <c r="A492" s="1" t="s">
        <v>29</v>
      </c>
      <c r="B492" s="17" t="s">
        <v>33</v>
      </c>
      <c r="C492" s="18" t="s">
        <v>199</v>
      </c>
      <c r="D492" s="19">
        <v>300</v>
      </c>
      <c r="E492" s="31">
        <v>2953.2</v>
      </c>
      <c r="F492" s="31">
        <v>2953.2</v>
      </c>
      <c r="G492" s="31">
        <v>2953.2</v>
      </c>
    </row>
    <row r="493" spans="1:7" ht="30" x14ac:dyDescent="0.25">
      <c r="A493" s="72" t="s">
        <v>34</v>
      </c>
      <c r="B493" s="17" t="s">
        <v>33</v>
      </c>
      <c r="C493" s="18" t="s">
        <v>35</v>
      </c>
      <c r="D493" s="19"/>
      <c r="E493" s="20">
        <f>E494</f>
        <v>287.5</v>
      </c>
      <c r="F493" s="20">
        <f>F494</f>
        <v>287.5</v>
      </c>
      <c r="G493" s="20">
        <f>G494</f>
        <v>287.5</v>
      </c>
    </row>
    <row r="494" spans="1:7" x14ac:dyDescent="0.25">
      <c r="A494" s="1" t="s">
        <v>29</v>
      </c>
      <c r="B494" s="17" t="s">
        <v>33</v>
      </c>
      <c r="C494" s="18" t="s">
        <v>35</v>
      </c>
      <c r="D494" s="19">
        <v>300</v>
      </c>
      <c r="E494" s="31">
        <v>287.5</v>
      </c>
      <c r="F494" s="31">
        <v>287.5</v>
      </c>
      <c r="G494" s="31">
        <v>287.5</v>
      </c>
    </row>
    <row r="495" spans="1:7" x14ac:dyDescent="0.25">
      <c r="A495" s="1" t="s">
        <v>200</v>
      </c>
      <c r="B495" s="17" t="s">
        <v>33</v>
      </c>
      <c r="C495" s="18" t="s">
        <v>201</v>
      </c>
      <c r="D495" s="19"/>
      <c r="E495" s="20">
        <f>E496</f>
        <v>552.09999999999991</v>
      </c>
      <c r="F495" s="20">
        <f>F496</f>
        <v>1077.3</v>
      </c>
      <c r="G495" s="20">
        <f>G496</f>
        <v>1075</v>
      </c>
    </row>
    <row r="496" spans="1:7" ht="30" x14ac:dyDescent="0.25">
      <c r="A496" s="1" t="s">
        <v>66</v>
      </c>
      <c r="B496" s="17" t="s">
        <v>33</v>
      </c>
      <c r="C496" s="18" t="s">
        <v>201</v>
      </c>
      <c r="D496" s="19">
        <v>600</v>
      </c>
      <c r="E496" s="31">
        <v>552.09999999999991</v>
      </c>
      <c r="F496" s="31">
        <v>1077.3</v>
      </c>
      <c r="G496" s="31">
        <v>1075</v>
      </c>
    </row>
    <row r="497" spans="1:7" x14ac:dyDescent="0.25">
      <c r="A497" s="1" t="s">
        <v>202</v>
      </c>
      <c r="B497" s="17" t="s">
        <v>33</v>
      </c>
      <c r="C497" s="18" t="s">
        <v>203</v>
      </c>
      <c r="D497" s="19"/>
      <c r="E497" s="20">
        <f>E498</f>
        <v>828.09999999999991</v>
      </c>
      <c r="F497" s="20">
        <f>F498</f>
        <v>1616</v>
      </c>
      <c r="G497" s="20">
        <f>G498</f>
        <v>1612.5</v>
      </c>
    </row>
    <row r="498" spans="1:7" ht="30" x14ac:dyDescent="0.25">
      <c r="A498" s="1" t="s">
        <v>66</v>
      </c>
      <c r="B498" s="17" t="s">
        <v>33</v>
      </c>
      <c r="C498" s="18" t="s">
        <v>203</v>
      </c>
      <c r="D498" s="19">
        <v>600</v>
      </c>
      <c r="E498" s="31">
        <v>828.09999999999991</v>
      </c>
      <c r="F498" s="31">
        <v>1616</v>
      </c>
      <c r="G498" s="31">
        <v>1612.5</v>
      </c>
    </row>
    <row r="499" spans="1:7" ht="30" x14ac:dyDescent="0.25">
      <c r="A499" s="33" t="s">
        <v>266</v>
      </c>
      <c r="B499" s="37" t="s">
        <v>33</v>
      </c>
      <c r="C499" s="37" t="s">
        <v>267</v>
      </c>
      <c r="D499" s="45"/>
      <c r="E499" s="31">
        <f>E500+E504</f>
        <v>6126.4</v>
      </c>
      <c r="F499" s="31">
        <f>F500+F504</f>
        <v>1000</v>
      </c>
      <c r="G499" s="31">
        <f>G500+G504</f>
        <v>1000</v>
      </c>
    </row>
    <row r="500" spans="1:7" ht="30" x14ac:dyDescent="0.25">
      <c r="A500" s="33" t="s">
        <v>448</v>
      </c>
      <c r="B500" s="37" t="s">
        <v>33</v>
      </c>
      <c r="C500" s="37" t="s">
        <v>449</v>
      </c>
      <c r="D500" s="45"/>
      <c r="E500" s="31">
        <f>E501</f>
        <v>800</v>
      </c>
      <c r="F500" s="31">
        <f t="shared" ref="F500:G502" si="125">F501</f>
        <v>500</v>
      </c>
      <c r="G500" s="31">
        <f t="shared" si="125"/>
        <v>500</v>
      </c>
    </row>
    <row r="501" spans="1:7" ht="30" x14ac:dyDescent="0.25">
      <c r="A501" s="33" t="s">
        <v>450</v>
      </c>
      <c r="B501" s="37" t="s">
        <v>33</v>
      </c>
      <c r="C501" s="37" t="s">
        <v>451</v>
      </c>
      <c r="D501" s="45"/>
      <c r="E501" s="31">
        <f>E502</f>
        <v>800</v>
      </c>
      <c r="F501" s="31">
        <f t="shared" si="125"/>
        <v>500</v>
      </c>
      <c r="G501" s="31">
        <f t="shared" si="125"/>
        <v>500</v>
      </c>
    </row>
    <row r="502" spans="1:7" ht="45" x14ac:dyDescent="0.25">
      <c r="A502" s="33" t="s">
        <v>452</v>
      </c>
      <c r="B502" s="37" t="s">
        <v>453</v>
      </c>
      <c r="C502" s="37" t="s">
        <v>454</v>
      </c>
      <c r="D502" s="45"/>
      <c r="E502" s="31">
        <f>E503</f>
        <v>800</v>
      </c>
      <c r="F502" s="31">
        <f t="shared" si="125"/>
        <v>500</v>
      </c>
      <c r="G502" s="31">
        <f t="shared" si="125"/>
        <v>500</v>
      </c>
    </row>
    <row r="503" spans="1:7" x14ac:dyDescent="0.25">
      <c r="A503" s="1" t="s">
        <v>29</v>
      </c>
      <c r="B503" s="37" t="s">
        <v>453</v>
      </c>
      <c r="C503" s="37" t="s">
        <v>454</v>
      </c>
      <c r="D503" s="45">
        <v>300</v>
      </c>
      <c r="E503" s="31">
        <v>800</v>
      </c>
      <c r="F503" s="31">
        <v>500</v>
      </c>
      <c r="G503" s="31">
        <v>500</v>
      </c>
    </row>
    <row r="504" spans="1:7" x14ac:dyDescent="0.25">
      <c r="A504" s="33" t="s">
        <v>455</v>
      </c>
      <c r="B504" s="37" t="s">
        <v>33</v>
      </c>
      <c r="C504" s="37" t="s">
        <v>456</v>
      </c>
      <c r="D504" s="45"/>
      <c r="E504" s="31">
        <f>E505</f>
        <v>5326.4</v>
      </c>
      <c r="F504" s="31">
        <f t="shared" ref="F504:G506" si="126">F505</f>
        <v>500</v>
      </c>
      <c r="G504" s="31">
        <f t="shared" si="126"/>
        <v>500</v>
      </c>
    </row>
    <row r="505" spans="1:7" ht="30" x14ac:dyDescent="0.25">
      <c r="A505" s="33" t="s">
        <v>457</v>
      </c>
      <c r="B505" s="37" t="s">
        <v>33</v>
      </c>
      <c r="C505" s="37" t="s">
        <v>458</v>
      </c>
      <c r="D505" s="45"/>
      <c r="E505" s="31">
        <f>E506+E508</f>
        <v>5326.4</v>
      </c>
      <c r="F505" s="31">
        <f t="shared" ref="F505:G505" si="127">F506+F508</f>
        <v>500</v>
      </c>
      <c r="G505" s="31">
        <f t="shared" si="127"/>
        <v>500</v>
      </c>
    </row>
    <row r="506" spans="1:7" ht="60" x14ac:dyDescent="0.25">
      <c r="A506" s="33" t="s">
        <v>490</v>
      </c>
      <c r="B506" s="37" t="s">
        <v>33</v>
      </c>
      <c r="C506" s="37" t="s">
        <v>489</v>
      </c>
      <c r="D506" s="45"/>
      <c r="E506" s="31">
        <f>E507</f>
        <v>0</v>
      </c>
      <c r="F506" s="31">
        <f t="shared" si="126"/>
        <v>500</v>
      </c>
      <c r="G506" s="31">
        <f t="shared" si="126"/>
        <v>500</v>
      </c>
    </row>
    <row r="507" spans="1:7" x14ac:dyDescent="0.25">
      <c r="A507" s="1" t="s">
        <v>29</v>
      </c>
      <c r="B507" s="37" t="s">
        <v>33</v>
      </c>
      <c r="C507" s="37" t="s">
        <v>489</v>
      </c>
      <c r="D507" s="45">
        <v>300</v>
      </c>
      <c r="E507" s="31">
        <f>500-500</f>
        <v>0</v>
      </c>
      <c r="F507" s="31">
        <v>500</v>
      </c>
      <c r="G507" s="31">
        <v>500</v>
      </c>
    </row>
    <row r="508" spans="1:7" ht="60" x14ac:dyDescent="0.25">
      <c r="A508" s="105" t="s">
        <v>490</v>
      </c>
      <c r="B508" s="101" t="s">
        <v>33</v>
      </c>
      <c r="C508" s="101" t="s">
        <v>561</v>
      </c>
      <c r="D508" s="102"/>
      <c r="E508" s="31">
        <f>E509</f>
        <v>5326.4</v>
      </c>
      <c r="F508" s="31">
        <f t="shared" ref="F508:G508" si="128">F509</f>
        <v>0</v>
      </c>
      <c r="G508" s="31">
        <f t="shared" si="128"/>
        <v>0</v>
      </c>
    </row>
    <row r="509" spans="1:7" x14ac:dyDescent="0.25">
      <c r="A509" s="104" t="s">
        <v>29</v>
      </c>
      <c r="B509" s="101" t="s">
        <v>33</v>
      </c>
      <c r="C509" s="101" t="s">
        <v>561</v>
      </c>
      <c r="D509" s="102">
        <v>300</v>
      </c>
      <c r="E509" s="31">
        <f>500+4826.4</f>
        <v>5326.4</v>
      </c>
      <c r="F509" s="31">
        <v>0</v>
      </c>
      <c r="G509" s="31">
        <v>0</v>
      </c>
    </row>
    <row r="510" spans="1:7" x14ac:dyDescent="0.25">
      <c r="A510" s="1"/>
      <c r="B510" s="37"/>
      <c r="C510" s="37"/>
      <c r="D510" s="45"/>
      <c r="E510" s="31"/>
      <c r="F510" s="31"/>
      <c r="G510" s="31"/>
    </row>
    <row r="511" spans="1:7" x14ac:dyDescent="0.25">
      <c r="A511" s="41" t="s">
        <v>380</v>
      </c>
      <c r="B511" s="42" t="s">
        <v>381</v>
      </c>
      <c r="C511" s="42"/>
      <c r="D511" s="42"/>
      <c r="E511" s="14">
        <f>E512+E516</f>
        <v>200051.40000000002</v>
      </c>
      <c r="F511" s="14">
        <f t="shared" ref="F511:G511" si="129">F512+F516</f>
        <v>207240.6</v>
      </c>
      <c r="G511" s="14">
        <f t="shared" si="129"/>
        <v>207444.9</v>
      </c>
    </row>
    <row r="512" spans="1:7" x14ac:dyDescent="0.25">
      <c r="A512" s="1" t="s">
        <v>10</v>
      </c>
      <c r="B512" s="34" t="s">
        <v>381</v>
      </c>
      <c r="C512" s="18" t="s">
        <v>11</v>
      </c>
      <c r="D512" s="34"/>
      <c r="E512" s="20">
        <f>SUM(E513)</f>
        <v>33513.199999999997</v>
      </c>
      <c r="F512" s="20">
        <f t="shared" ref="F512:G512" si="130">SUM(F513)</f>
        <v>37040.899999999994</v>
      </c>
      <c r="G512" s="20">
        <f t="shared" si="130"/>
        <v>37040.899999999994</v>
      </c>
    </row>
    <row r="513" spans="1:7" x14ac:dyDescent="0.25">
      <c r="A513" s="22" t="s">
        <v>44</v>
      </c>
      <c r="B513" s="34" t="s">
        <v>381</v>
      </c>
      <c r="C513" s="18" t="s">
        <v>45</v>
      </c>
      <c r="D513" s="34"/>
      <c r="E513" s="20">
        <f>E514</f>
        <v>33513.199999999997</v>
      </c>
      <c r="F513" s="20">
        <f t="shared" ref="F513:G513" si="131">F514</f>
        <v>37040.899999999994</v>
      </c>
      <c r="G513" s="20">
        <f t="shared" si="131"/>
        <v>37040.899999999994</v>
      </c>
    </row>
    <row r="514" spans="1:7" ht="135" x14ac:dyDescent="0.25">
      <c r="A514" s="107" t="s">
        <v>495</v>
      </c>
      <c r="B514" s="34" t="s">
        <v>381</v>
      </c>
      <c r="C514" s="18" t="s">
        <v>459</v>
      </c>
      <c r="D514" s="34"/>
      <c r="E514" s="20">
        <f>SUM(E515)</f>
        <v>33513.199999999997</v>
      </c>
      <c r="F514" s="20">
        <f t="shared" ref="F514:G514" si="132">SUM(F515)</f>
        <v>37040.899999999994</v>
      </c>
      <c r="G514" s="20">
        <f t="shared" si="132"/>
        <v>37040.899999999994</v>
      </c>
    </row>
    <row r="515" spans="1:7" ht="30" x14ac:dyDescent="0.25">
      <c r="A515" s="38" t="s">
        <v>87</v>
      </c>
      <c r="B515" s="34" t="s">
        <v>381</v>
      </c>
      <c r="C515" s="18" t="s">
        <v>459</v>
      </c>
      <c r="D515" s="34" t="s">
        <v>460</v>
      </c>
      <c r="E515" s="31">
        <f>7055.4+26457.8</f>
        <v>33513.199999999997</v>
      </c>
      <c r="F515" s="31">
        <f>8819.3+28221.6</f>
        <v>37040.899999999994</v>
      </c>
      <c r="G515" s="31">
        <f>8819.3+28221.6</f>
        <v>37040.899999999994</v>
      </c>
    </row>
    <row r="516" spans="1:7" ht="30" x14ac:dyDescent="0.25">
      <c r="A516" s="1" t="s">
        <v>332</v>
      </c>
      <c r="B516" s="17" t="s">
        <v>381</v>
      </c>
      <c r="C516" s="18" t="s">
        <v>333</v>
      </c>
      <c r="D516" s="17"/>
      <c r="E516" s="31">
        <f>E517+E521</f>
        <v>166538.20000000001</v>
      </c>
      <c r="F516" s="31">
        <f t="shared" ref="F516:G516" si="133">F517+F521</f>
        <v>170199.7</v>
      </c>
      <c r="G516" s="31">
        <f t="shared" si="133"/>
        <v>170404</v>
      </c>
    </row>
    <row r="517" spans="1:7" ht="30" x14ac:dyDescent="0.25">
      <c r="A517" s="22" t="s">
        <v>334</v>
      </c>
      <c r="B517" s="17" t="s">
        <v>381</v>
      </c>
      <c r="C517" s="18" t="s">
        <v>335</v>
      </c>
      <c r="D517" s="17"/>
      <c r="E517" s="31">
        <f>E518</f>
        <v>110348.5</v>
      </c>
      <c r="F517" s="31">
        <f t="shared" ref="F517:G517" si="134">F518</f>
        <v>110348.5</v>
      </c>
      <c r="G517" s="31">
        <f t="shared" si="134"/>
        <v>110552.8</v>
      </c>
    </row>
    <row r="518" spans="1:7" ht="45" x14ac:dyDescent="0.25">
      <c r="A518" s="22" t="s">
        <v>336</v>
      </c>
      <c r="B518" s="17" t="s">
        <v>381</v>
      </c>
      <c r="C518" s="18" t="s">
        <v>337</v>
      </c>
      <c r="D518" s="17"/>
      <c r="E518" s="31">
        <f>E519</f>
        <v>110348.5</v>
      </c>
      <c r="F518" s="31">
        <f t="shared" ref="F518:G519" si="135">F519</f>
        <v>110348.5</v>
      </c>
      <c r="G518" s="31">
        <f t="shared" si="135"/>
        <v>110552.8</v>
      </c>
    </row>
    <row r="519" spans="1:7" ht="90" x14ac:dyDescent="0.25">
      <c r="A519" s="25" t="s">
        <v>382</v>
      </c>
      <c r="B519" s="17" t="s">
        <v>381</v>
      </c>
      <c r="C519" s="18" t="s">
        <v>383</v>
      </c>
      <c r="D519" s="19"/>
      <c r="E519" s="31">
        <f>E520</f>
        <v>110348.5</v>
      </c>
      <c r="F519" s="31">
        <f t="shared" si="135"/>
        <v>110348.5</v>
      </c>
      <c r="G519" s="31">
        <f t="shared" si="135"/>
        <v>110552.8</v>
      </c>
    </row>
    <row r="520" spans="1:7" ht="30" x14ac:dyDescent="0.25">
      <c r="A520" s="1" t="s">
        <v>66</v>
      </c>
      <c r="B520" s="17" t="s">
        <v>381</v>
      </c>
      <c r="C520" s="18" t="s">
        <v>383</v>
      </c>
      <c r="D520" s="19">
        <v>600</v>
      </c>
      <c r="E520" s="31">
        <v>110348.5</v>
      </c>
      <c r="F520" s="31">
        <v>110348.5</v>
      </c>
      <c r="G520" s="31">
        <v>110552.8</v>
      </c>
    </row>
    <row r="521" spans="1:7" x14ac:dyDescent="0.25">
      <c r="A521" s="22" t="s">
        <v>361</v>
      </c>
      <c r="B521" s="17" t="s">
        <v>381</v>
      </c>
      <c r="C521" s="18" t="s">
        <v>362</v>
      </c>
      <c r="D521" s="17"/>
      <c r="E521" s="52">
        <f>E522</f>
        <v>56189.700000000004</v>
      </c>
      <c r="F521" s="52">
        <f t="shared" ref="F521:G521" si="136">F522</f>
        <v>59851.199999999997</v>
      </c>
      <c r="G521" s="52">
        <f t="shared" si="136"/>
        <v>59851.199999999997</v>
      </c>
    </row>
    <row r="522" spans="1:7" ht="30" x14ac:dyDescent="0.25">
      <c r="A522" s="46" t="s">
        <v>371</v>
      </c>
      <c r="B522" s="17" t="s">
        <v>381</v>
      </c>
      <c r="C522" s="18" t="s">
        <v>372</v>
      </c>
      <c r="D522" s="17"/>
      <c r="E522" s="52">
        <f>E523+E526+E529</f>
        <v>56189.700000000004</v>
      </c>
      <c r="F522" s="52">
        <f t="shared" ref="F522:G522" si="137">F523+F526+F529</f>
        <v>59851.199999999997</v>
      </c>
      <c r="G522" s="52">
        <f t="shared" si="137"/>
        <v>59851.199999999997</v>
      </c>
    </row>
    <row r="523" spans="1:7" ht="90" x14ac:dyDescent="0.25">
      <c r="A523" s="47" t="s">
        <v>384</v>
      </c>
      <c r="B523" s="17" t="s">
        <v>381</v>
      </c>
      <c r="C523" s="18" t="s">
        <v>385</v>
      </c>
      <c r="D523" s="19"/>
      <c r="E523" s="52">
        <f>SUM(E524:E525)</f>
        <v>232.5</v>
      </c>
      <c r="F523" s="52">
        <f t="shared" ref="F523:G523" si="138">SUM(F524:F525)</f>
        <v>240.6</v>
      </c>
      <c r="G523" s="52">
        <f t="shared" si="138"/>
        <v>240.6</v>
      </c>
    </row>
    <row r="524" spans="1:7" ht="30" x14ac:dyDescent="0.25">
      <c r="A524" s="1" t="s">
        <v>21</v>
      </c>
      <c r="B524" s="17" t="s">
        <v>381</v>
      </c>
      <c r="C524" s="18" t="s">
        <v>385</v>
      </c>
      <c r="D524" s="19">
        <v>200</v>
      </c>
      <c r="E524" s="31">
        <v>5</v>
      </c>
      <c r="F524" s="31">
        <v>5</v>
      </c>
      <c r="G524" s="31">
        <v>5</v>
      </c>
    </row>
    <row r="525" spans="1:7" x14ac:dyDescent="0.25">
      <c r="A525" s="1" t="s">
        <v>29</v>
      </c>
      <c r="B525" s="17" t="s">
        <v>381</v>
      </c>
      <c r="C525" s="18" t="s">
        <v>385</v>
      </c>
      <c r="D525" s="19">
        <v>300</v>
      </c>
      <c r="E525" s="31">
        <v>227.5</v>
      </c>
      <c r="F525" s="31">
        <v>235.6</v>
      </c>
      <c r="G525" s="31">
        <v>235.6</v>
      </c>
    </row>
    <row r="526" spans="1:7" ht="90" x14ac:dyDescent="0.25">
      <c r="A526" s="47" t="s">
        <v>386</v>
      </c>
      <c r="B526" s="17" t="s">
        <v>381</v>
      </c>
      <c r="C526" s="18" t="s">
        <v>387</v>
      </c>
      <c r="D526" s="19"/>
      <c r="E526" s="52">
        <f>SUM(E527:E528)</f>
        <v>50813.8</v>
      </c>
      <c r="F526" s="52">
        <f t="shared" ref="F526:G526" si="139">SUM(F527:F528)</f>
        <v>54261.5</v>
      </c>
      <c r="G526" s="52">
        <f t="shared" si="139"/>
        <v>54261.5</v>
      </c>
    </row>
    <row r="527" spans="1:7" ht="30" x14ac:dyDescent="0.25">
      <c r="A527" s="1" t="s">
        <v>21</v>
      </c>
      <c r="B527" s="17" t="s">
        <v>381</v>
      </c>
      <c r="C527" s="18" t="s">
        <v>387</v>
      </c>
      <c r="D527" s="19">
        <v>200</v>
      </c>
      <c r="E527" s="31">
        <v>7900.6</v>
      </c>
      <c r="F527" s="31">
        <v>7900.6</v>
      </c>
      <c r="G527" s="31">
        <v>7900.6</v>
      </c>
    </row>
    <row r="528" spans="1:7" x14ac:dyDescent="0.25">
      <c r="A528" s="1" t="s">
        <v>29</v>
      </c>
      <c r="B528" s="17" t="s">
        <v>381</v>
      </c>
      <c r="C528" s="18" t="s">
        <v>387</v>
      </c>
      <c r="D528" s="19">
        <v>300</v>
      </c>
      <c r="E528" s="31">
        <f>44770.3-1857.1</f>
        <v>42913.200000000004</v>
      </c>
      <c r="F528" s="31">
        <v>46360.9</v>
      </c>
      <c r="G528" s="31">
        <v>46360.9</v>
      </c>
    </row>
    <row r="529" spans="1:7" ht="90" x14ac:dyDescent="0.25">
      <c r="A529" s="47" t="s">
        <v>388</v>
      </c>
      <c r="B529" s="17" t="s">
        <v>381</v>
      </c>
      <c r="C529" s="18" t="s">
        <v>389</v>
      </c>
      <c r="D529" s="19"/>
      <c r="E529" s="52">
        <f>SUM(E530:E531)</f>
        <v>5143.3999999999996</v>
      </c>
      <c r="F529" s="52">
        <f t="shared" ref="F529:G529" si="140">SUM(F530:F531)</f>
        <v>5349.1</v>
      </c>
      <c r="G529" s="52">
        <f t="shared" si="140"/>
        <v>5349.1</v>
      </c>
    </row>
    <row r="530" spans="1:7" ht="30" x14ac:dyDescent="0.25">
      <c r="A530" s="1" t="s">
        <v>21</v>
      </c>
      <c r="B530" s="17" t="s">
        <v>381</v>
      </c>
      <c r="C530" s="18" t="s">
        <v>389</v>
      </c>
      <c r="D530" s="19">
        <v>200</v>
      </c>
      <c r="E530" s="31">
        <v>20</v>
      </c>
      <c r="F530" s="31">
        <v>20</v>
      </c>
      <c r="G530" s="31">
        <v>20</v>
      </c>
    </row>
    <row r="531" spans="1:7" x14ac:dyDescent="0.25">
      <c r="A531" s="1" t="s">
        <v>29</v>
      </c>
      <c r="B531" s="17" t="s">
        <v>381</v>
      </c>
      <c r="C531" s="18" t="s">
        <v>389</v>
      </c>
      <c r="D531" s="19">
        <v>300</v>
      </c>
      <c r="E531" s="31">
        <v>5123.3999999999996</v>
      </c>
      <c r="F531" s="31">
        <v>5329.1</v>
      </c>
      <c r="G531" s="31">
        <v>5329.1</v>
      </c>
    </row>
    <row r="532" spans="1:7" x14ac:dyDescent="0.25">
      <c r="A532" s="10" t="s">
        <v>204</v>
      </c>
      <c r="B532" s="11" t="s">
        <v>205</v>
      </c>
      <c r="C532" s="16"/>
      <c r="D532" s="13"/>
      <c r="E532" s="14">
        <f>SUM(E533+E538)</f>
        <v>29833.9</v>
      </c>
      <c r="F532" s="14">
        <f>SUM(F533+F538)</f>
        <v>30582.400000000001</v>
      </c>
      <c r="G532" s="14">
        <f>SUM(G533+G538)</f>
        <v>30910</v>
      </c>
    </row>
    <row r="533" spans="1:7" x14ac:dyDescent="0.25">
      <c r="A533" s="10" t="s">
        <v>206</v>
      </c>
      <c r="B533" s="11" t="s">
        <v>207</v>
      </c>
      <c r="C533" s="16"/>
      <c r="D533" s="13"/>
      <c r="E533" s="14">
        <f>E534</f>
        <v>20877.400000000001</v>
      </c>
      <c r="F533" s="14">
        <f t="shared" ref="F533:G534" si="141">F534</f>
        <v>20041.600000000002</v>
      </c>
      <c r="G533" s="14">
        <f t="shared" si="141"/>
        <v>20391.900000000001</v>
      </c>
    </row>
    <row r="534" spans="1:7" ht="30" x14ac:dyDescent="0.25">
      <c r="A534" s="1" t="s">
        <v>208</v>
      </c>
      <c r="B534" s="17" t="s">
        <v>207</v>
      </c>
      <c r="C534" s="18" t="s">
        <v>209</v>
      </c>
      <c r="D534" s="19"/>
      <c r="E534" s="31">
        <f>E535</f>
        <v>20877.400000000001</v>
      </c>
      <c r="F534" s="31">
        <f t="shared" si="141"/>
        <v>20041.600000000002</v>
      </c>
      <c r="G534" s="31">
        <f t="shared" si="141"/>
        <v>20391.900000000001</v>
      </c>
    </row>
    <row r="535" spans="1:7" ht="30" x14ac:dyDescent="0.25">
      <c r="A535" s="1" t="s">
        <v>210</v>
      </c>
      <c r="B535" s="17" t="s">
        <v>207</v>
      </c>
      <c r="C535" s="18" t="s">
        <v>211</v>
      </c>
      <c r="D535" s="19"/>
      <c r="E535" s="31">
        <f>E536</f>
        <v>20877.400000000001</v>
      </c>
      <c r="F535" s="31">
        <f t="shared" ref="F535:G536" si="142">F536</f>
        <v>20041.600000000002</v>
      </c>
      <c r="G535" s="31">
        <f t="shared" si="142"/>
        <v>20391.900000000001</v>
      </c>
    </row>
    <row r="536" spans="1:7" ht="30" x14ac:dyDescent="0.25">
      <c r="A536" s="1" t="s">
        <v>64</v>
      </c>
      <c r="B536" s="17" t="s">
        <v>207</v>
      </c>
      <c r="C536" s="18" t="s">
        <v>212</v>
      </c>
      <c r="D536" s="19"/>
      <c r="E536" s="31">
        <f>E537</f>
        <v>20877.400000000001</v>
      </c>
      <c r="F536" s="31">
        <f t="shared" si="142"/>
        <v>20041.600000000002</v>
      </c>
      <c r="G536" s="31">
        <f t="shared" si="142"/>
        <v>20391.900000000001</v>
      </c>
    </row>
    <row r="537" spans="1:7" ht="30" x14ac:dyDescent="0.25">
      <c r="A537" s="1" t="s">
        <v>66</v>
      </c>
      <c r="B537" s="17" t="s">
        <v>207</v>
      </c>
      <c r="C537" s="18" t="s">
        <v>212</v>
      </c>
      <c r="D537" s="19">
        <v>600</v>
      </c>
      <c r="E537" s="31">
        <f>18411.7+1465.7+1000</f>
        <v>20877.400000000001</v>
      </c>
      <c r="F537" s="31">
        <f>19732.4+309.2</f>
        <v>20041.600000000002</v>
      </c>
      <c r="G537" s="31">
        <f>20082.7+309.2</f>
        <v>20391.900000000001</v>
      </c>
    </row>
    <row r="538" spans="1:7" x14ac:dyDescent="0.25">
      <c r="A538" s="10" t="s">
        <v>213</v>
      </c>
      <c r="B538" s="11" t="s">
        <v>214</v>
      </c>
      <c r="C538" s="16"/>
      <c r="D538" s="13"/>
      <c r="E538" s="14">
        <f>SUM(E539)</f>
        <v>8956.5</v>
      </c>
      <c r="F538" s="14">
        <f t="shared" ref="F538:G538" si="143">SUM(F539)</f>
        <v>10540.800000000001</v>
      </c>
      <c r="G538" s="14">
        <f t="shared" si="143"/>
        <v>10518.1</v>
      </c>
    </row>
    <row r="539" spans="1:7" ht="30" x14ac:dyDescent="0.25">
      <c r="A539" s="1" t="s">
        <v>208</v>
      </c>
      <c r="B539" s="17" t="s">
        <v>214</v>
      </c>
      <c r="C539" s="18" t="s">
        <v>209</v>
      </c>
      <c r="D539" s="19"/>
      <c r="E539" s="31">
        <f>E540+E543</f>
        <v>8956.5</v>
      </c>
      <c r="F539" s="31">
        <f t="shared" ref="F539:G539" si="144">F540+F543</f>
        <v>10540.800000000001</v>
      </c>
      <c r="G539" s="31">
        <f t="shared" si="144"/>
        <v>10518.1</v>
      </c>
    </row>
    <row r="540" spans="1:7" ht="30" x14ac:dyDescent="0.25">
      <c r="A540" s="1" t="s">
        <v>215</v>
      </c>
      <c r="B540" s="17" t="s">
        <v>214</v>
      </c>
      <c r="C540" s="18" t="s">
        <v>216</v>
      </c>
      <c r="D540" s="19"/>
      <c r="E540" s="31">
        <f>E541</f>
        <v>2211.6999999999998</v>
      </c>
      <c r="F540" s="31">
        <f t="shared" ref="F540:G541" si="145">F541</f>
        <v>249.7</v>
      </c>
      <c r="G540" s="31">
        <f t="shared" si="145"/>
        <v>249.7</v>
      </c>
    </row>
    <row r="541" spans="1:7" ht="30" x14ac:dyDescent="0.25">
      <c r="A541" s="1" t="s">
        <v>217</v>
      </c>
      <c r="B541" s="17" t="s">
        <v>214</v>
      </c>
      <c r="C541" s="18" t="s">
        <v>218</v>
      </c>
      <c r="D541" s="19"/>
      <c r="E541" s="31">
        <f>E542</f>
        <v>2211.6999999999998</v>
      </c>
      <c r="F541" s="31">
        <f t="shared" si="145"/>
        <v>249.7</v>
      </c>
      <c r="G541" s="31">
        <f t="shared" si="145"/>
        <v>249.7</v>
      </c>
    </row>
    <row r="542" spans="1:7" ht="30" x14ac:dyDescent="0.25">
      <c r="A542" s="1" t="s">
        <v>21</v>
      </c>
      <c r="B542" s="17" t="s">
        <v>214</v>
      </c>
      <c r="C542" s="18" t="s">
        <v>218</v>
      </c>
      <c r="D542" s="19">
        <v>200</v>
      </c>
      <c r="E542" s="31">
        <f>249.7+50+554.3+1357.7</f>
        <v>2211.6999999999998</v>
      </c>
      <c r="F542" s="31">
        <v>249.7</v>
      </c>
      <c r="G542" s="31">
        <v>249.7</v>
      </c>
    </row>
    <row r="543" spans="1:7" ht="30" x14ac:dyDescent="0.25">
      <c r="A543" s="22" t="s">
        <v>219</v>
      </c>
      <c r="B543" s="17" t="s">
        <v>214</v>
      </c>
      <c r="C543" s="18" t="s">
        <v>220</v>
      </c>
      <c r="D543" s="19"/>
      <c r="E543" s="31">
        <f>E544+E547+E549+E551</f>
        <v>6744.7999999999993</v>
      </c>
      <c r="F543" s="31">
        <f t="shared" ref="F543:G543" si="146">F544+F547+F549+F551</f>
        <v>10291.1</v>
      </c>
      <c r="G543" s="31">
        <f t="shared" si="146"/>
        <v>10268.4</v>
      </c>
    </row>
    <row r="544" spans="1:7" ht="30" x14ac:dyDescent="0.25">
      <c r="A544" s="1" t="s">
        <v>221</v>
      </c>
      <c r="B544" s="17" t="s">
        <v>214</v>
      </c>
      <c r="C544" s="18" t="s">
        <v>222</v>
      </c>
      <c r="D544" s="19"/>
      <c r="E544" s="31">
        <f>SUM(E545:E546)</f>
        <v>4949.7999999999993</v>
      </c>
      <c r="F544" s="31">
        <f t="shared" ref="F544:G544" si="147">SUM(F545:F546)</f>
        <v>6081.1</v>
      </c>
      <c r="G544" s="31">
        <f t="shared" si="147"/>
        <v>6058.4</v>
      </c>
    </row>
    <row r="545" spans="1:7" ht="60" x14ac:dyDescent="0.25">
      <c r="A545" s="1" t="s">
        <v>14</v>
      </c>
      <c r="B545" s="17" t="s">
        <v>214</v>
      </c>
      <c r="C545" s="18" t="s">
        <v>222</v>
      </c>
      <c r="D545" s="19">
        <v>100</v>
      </c>
      <c r="E545" s="31">
        <f>2389.5-6.3+197.6</f>
        <v>2580.7999999999997</v>
      </c>
      <c r="F545" s="31">
        <v>3252</v>
      </c>
      <c r="G545" s="31">
        <v>3229.3</v>
      </c>
    </row>
    <row r="546" spans="1:7" ht="30" x14ac:dyDescent="0.25">
      <c r="A546" s="1" t="s">
        <v>21</v>
      </c>
      <c r="B546" s="17" t="s">
        <v>214</v>
      </c>
      <c r="C546" s="18" t="s">
        <v>222</v>
      </c>
      <c r="D546" s="19">
        <v>200</v>
      </c>
      <c r="E546" s="31">
        <f>1721-43.7+691.7</f>
        <v>2369</v>
      </c>
      <c r="F546" s="31">
        <v>2829.1000000000004</v>
      </c>
      <c r="G546" s="31">
        <v>2829.1</v>
      </c>
    </row>
    <row r="547" spans="1:7" ht="30" x14ac:dyDescent="0.25">
      <c r="A547" s="38" t="s">
        <v>223</v>
      </c>
      <c r="B547" s="17" t="s">
        <v>214</v>
      </c>
      <c r="C547" s="18" t="s">
        <v>224</v>
      </c>
      <c r="D547" s="19"/>
      <c r="E547" s="31">
        <f>E548</f>
        <v>1235</v>
      </c>
      <c r="F547" s="31">
        <f t="shared" ref="F547:G547" si="148">F548</f>
        <v>1650</v>
      </c>
      <c r="G547" s="31">
        <f t="shared" si="148"/>
        <v>1650</v>
      </c>
    </row>
    <row r="548" spans="1:7" ht="30" x14ac:dyDescent="0.25">
      <c r="A548" s="1" t="s">
        <v>21</v>
      </c>
      <c r="B548" s="17" t="s">
        <v>214</v>
      </c>
      <c r="C548" s="18" t="s">
        <v>224</v>
      </c>
      <c r="D548" s="45">
        <v>200</v>
      </c>
      <c r="E548" s="31">
        <f>482+753</f>
        <v>1235</v>
      </c>
      <c r="F548" s="31">
        <v>1650</v>
      </c>
      <c r="G548" s="31">
        <v>1650</v>
      </c>
    </row>
    <row r="549" spans="1:7" x14ac:dyDescent="0.25">
      <c r="A549" s="38" t="s">
        <v>225</v>
      </c>
      <c r="B549" s="17" t="s">
        <v>214</v>
      </c>
      <c r="C549" s="18" t="s">
        <v>226</v>
      </c>
      <c r="D549" s="45"/>
      <c r="E549" s="31">
        <f>E550</f>
        <v>400</v>
      </c>
      <c r="F549" s="31">
        <f t="shared" ref="F549:G549" si="149">F550</f>
        <v>2400</v>
      </c>
      <c r="G549" s="31">
        <f t="shared" si="149"/>
        <v>2400</v>
      </c>
    </row>
    <row r="550" spans="1:7" ht="30" x14ac:dyDescent="0.25">
      <c r="A550" s="1" t="s">
        <v>66</v>
      </c>
      <c r="B550" s="17" t="s">
        <v>214</v>
      </c>
      <c r="C550" s="18" t="s">
        <v>226</v>
      </c>
      <c r="D550" s="45">
        <v>600</v>
      </c>
      <c r="E550" s="31">
        <v>400</v>
      </c>
      <c r="F550" s="31">
        <v>2400</v>
      </c>
      <c r="G550" s="31">
        <v>2400</v>
      </c>
    </row>
    <row r="551" spans="1:7" ht="30" x14ac:dyDescent="0.25">
      <c r="A551" s="1" t="s">
        <v>227</v>
      </c>
      <c r="B551" s="17" t="s">
        <v>214</v>
      </c>
      <c r="C551" s="18" t="s">
        <v>228</v>
      </c>
      <c r="D551" s="19"/>
      <c r="E551" s="31">
        <f>E552</f>
        <v>160</v>
      </c>
      <c r="F551" s="31">
        <f t="shared" ref="F551:G551" si="150">F552</f>
        <v>160</v>
      </c>
      <c r="G551" s="31">
        <f t="shared" si="150"/>
        <v>160</v>
      </c>
    </row>
    <row r="552" spans="1:7" s="15" customFormat="1" ht="30" x14ac:dyDescent="0.25">
      <c r="A552" s="1" t="s">
        <v>21</v>
      </c>
      <c r="B552" s="17" t="s">
        <v>214</v>
      </c>
      <c r="C552" s="18" t="s">
        <v>228</v>
      </c>
      <c r="D552" s="19">
        <v>200</v>
      </c>
      <c r="E552" s="31">
        <v>160</v>
      </c>
      <c r="F552" s="31">
        <v>160</v>
      </c>
      <c r="G552" s="31">
        <v>160</v>
      </c>
    </row>
    <row r="553" spans="1:7" x14ac:dyDescent="0.25">
      <c r="A553" s="73" t="s">
        <v>229</v>
      </c>
      <c r="B553" s="42" t="s">
        <v>230</v>
      </c>
      <c r="C553" s="42"/>
      <c r="D553" s="43"/>
      <c r="E553" s="14">
        <f>SUM(E554+E559)</f>
        <v>26022.2</v>
      </c>
      <c r="F553" s="14">
        <f t="shared" ref="F553:G553" si="151">SUM(F554+F559)</f>
        <v>27231.1</v>
      </c>
      <c r="G553" s="14">
        <f t="shared" si="151"/>
        <v>27846.1</v>
      </c>
    </row>
    <row r="554" spans="1:7" x14ac:dyDescent="0.25">
      <c r="A554" s="41" t="s">
        <v>231</v>
      </c>
      <c r="B554" s="42" t="s">
        <v>232</v>
      </c>
      <c r="C554" s="42"/>
      <c r="D554" s="43"/>
      <c r="E554" s="14">
        <f>SUM(E555)</f>
        <v>26022.2</v>
      </c>
      <c r="F554" s="14">
        <f t="shared" ref="F554:G557" si="152">SUM(F555)</f>
        <v>27231.1</v>
      </c>
      <c r="G554" s="14">
        <f t="shared" si="152"/>
        <v>27846.1</v>
      </c>
    </row>
    <row r="555" spans="1:7" ht="30" x14ac:dyDescent="0.25">
      <c r="A555" s="46" t="s">
        <v>60</v>
      </c>
      <c r="B555" s="37" t="s">
        <v>232</v>
      </c>
      <c r="C555" s="37" t="s">
        <v>61</v>
      </c>
      <c r="D555" s="45"/>
      <c r="E555" s="31">
        <f>SUM(E556)</f>
        <v>26022.2</v>
      </c>
      <c r="F555" s="31">
        <f t="shared" si="152"/>
        <v>27231.1</v>
      </c>
      <c r="G555" s="31">
        <f t="shared" si="152"/>
        <v>27846.1</v>
      </c>
    </row>
    <row r="556" spans="1:7" ht="30" x14ac:dyDescent="0.25">
      <c r="A556" s="46" t="s">
        <v>233</v>
      </c>
      <c r="B556" s="37" t="s">
        <v>232</v>
      </c>
      <c r="C556" s="37" t="s">
        <v>234</v>
      </c>
      <c r="D556" s="45"/>
      <c r="E556" s="31">
        <f>SUM(E557)</f>
        <v>26022.2</v>
      </c>
      <c r="F556" s="31">
        <f t="shared" si="152"/>
        <v>27231.1</v>
      </c>
      <c r="G556" s="31">
        <f t="shared" si="152"/>
        <v>27846.1</v>
      </c>
    </row>
    <row r="557" spans="1:7" ht="30" x14ac:dyDescent="0.25">
      <c r="A557" s="38" t="s">
        <v>64</v>
      </c>
      <c r="B557" s="37" t="s">
        <v>232</v>
      </c>
      <c r="C557" s="37" t="s">
        <v>235</v>
      </c>
      <c r="D557" s="45"/>
      <c r="E557" s="31">
        <f>SUM(E558)</f>
        <v>26022.2</v>
      </c>
      <c r="F557" s="31">
        <f t="shared" si="152"/>
        <v>27231.1</v>
      </c>
      <c r="G557" s="31">
        <f t="shared" si="152"/>
        <v>27846.1</v>
      </c>
    </row>
    <row r="558" spans="1:7" ht="30" x14ac:dyDescent="0.25">
      <c r="A558" s="38" t="s">
        <v>66</v>
      </c>
      <c r="B558" s="37" t="s">
        <v>232</v>
      </c>
      <c r="C558" s="37" t="s">
        <v>235</v>
      </c>
      <c r="D558" s="45">
        <v>600</v>
      </c>
      <c r="E558" s="31">
        <f>24010.7+1800+211.5</f>
        <v>26022.2</v>
      </c>
      <c r="F558" s="31">
        <v>27231.1</v>
      </c>
      <c r="G558" s="31">
        <v>27846.1</v>
      </c>
    </row>
    <row r="559" spans="1:7" hidden="1" x14ac:dyDescent="0.25">
      <c r="A559" s="41" t="s">
        <v>236</v>
      </c>
      <c r="B559" s="42" t="s">
        <v>237</v>
      </c>
      <c r="C559" s="42"/>
      <c r="D559" s="43"/>
      <c r="E559" s="14">
        <f>SUM(E560)</f>
        <v>0</v>
      </c>
      <c r="F559" s="14">
        <f t="shared" ref="F559:G562" si="153">SUM(F560)</f>
        <v>0</v>
      </c>
      <c r="G559" s="14">
        <f t="shared" si="153"/>
        <v>0</v>
      </c>
    </row>
    <row r="560" spans="1:7" ht="30" hidden="1" x14ac:dyDescent="0.25">
      <c r="A560" s="46" t="s">
        <v>60</v>
      </c>
      <c r="B560" s="37" t="s">
        <v>237</v>
      </c>
      <c r="C560" s="37" t="s">
        <v>61</v>
      </c>
      <c r="D560" s="45"/>
      <c r="E560" s="31">
        <f>SUM(E561)</f>
        <v>0</v>
      </c>
      <c r="F560" s="31">
        <f t="shared" si="153"/>
        <v>0</v>
      </c>
      <c r="G560" s="31">
        <f t="shared" si="153"/>
        <v>0</v>
      </c>
    </row>
    <row r="561" spans="1:7" ht="30" hidden="1" x14ac:dyDescent="0.25">
      <c r="A561" s="46" t="s">
        <v>233</v>
      </c>
      <c r="B561" s="37" t="s">
        <v>237</v>
      </c>
      <c r="C561" s="37" t="s">
        <v>234</v>
      </c>
      <c r="D561" s="45"/>
      <c r="E561" s="31">
        <f>SUM(E562)</f>
        <v>0</v>
      </c>
      <c r="F561" s="31">
        <f t="shared" si="153"/>
        <v>0</v>
      </c>
      <c r="G561" s="31">
        <f t="shared" si="153"/>
        <v>0</v>
      </c>
    </row>
    <row r="562" spans="1:7" ht="60" hidden="1" x14ac:dyDescent="0.25">
      <c r="A562" s="33" t="s">
        <v>238</v>
      </c>
      <c r="B562" s="37" t="s">
        <v>237</v>
      </c>
      <c r="C562" s="37" t="s">
        <v>239</v>
      </c>
      <c r="D562" s="45"/>
      <c r="E562" s="31">
        <f>SUM(E563)</f>
        <v>0</v>
      </c>
      <c r="F562" s="31">
        <f t="shared" si="153"/>
        <v>0</v>
      </c>
      <c r="G562" s="31">
        <f t="shared" si="153"/>
        <v>0</v>
      </c>
    </row>
    <row r="563" spans="1:7" s="15" customFormat="1" hidden="1" x14ac:dyDescent="0.25">
      <c r="A563" s="38" t="s">
        <v>22</v>
      </c>
      <c r="B563" s="37" t="s">
        <v>237</v>
      </c>
      <c r="C563" s="37" t="s">
        <v>239</v>
      </c>
      <c r="D563" s="45">
        <v>800</v>
      </c>
      <c r="E563" s="31"/>
    </row>
    <row r="564" spans="1:7" ht="21.75" customHeight="1" x14ac:dyDescent="0.25">
      <c r="A564" s="10" t="s">
        <v>240</v>
      </c>
      <c r="B564" s="11" t="s">
        <v>241</v>
      </c>
      <c r="C564" s="16"/>
      <c r="D564" s="13"/>
      <c r="E564" s="14">
        <f>E565</f>
        <v>94918</v>
      </c>
      <c r="F564" s="14">
        <f t="shared" ref="F564:G567" si="154">F565</f>
        <v>100000</v>
      </c>
      <c r="G564" s="14">
        <f t="shared" si="154"/>
        <v>100000</v>
      </c>
    </row>
    <row r="565" spans="1:7" ht="33" customHeight="1" x14ac:dyDescent="0.25">
      <c r="A565" s="10" t="s">
        <v>242</v>
      </c>
      <c r="B565" s="11" t="s">
        <v>243</v>
      </c>
      <c r="C565" s="16"/>
      <c r="D565" s="13"/>
      <c r="E565" s="14">
        <f>E566</f>
        <v>94918</v>
      </c>
      <c r="F565" s="14">
        <f t="shared" si="154"/>
        <v>100000</v>
      </c>
      <c r="G565" s="14">
        <f t="shared" si="154"/>
        <v>100000</v>
      </c>
    </row>
    <row r="566" spans="1:7" x14ac:dyDescent="0.25">
      <c r="A566" s="1" t="s">
        <v>10</v>
      </c>
      <c r="B566" s="17" t="s">
        <v>243</v>
      </c>
      <c r="C566" s="18" t="s">
        <v>11</v>
      </c>
      <c r="D566" s="19"/>
      <c r="E566" s="20">
        <f>E567</f>
        <v>94918</v>
      </c>
      <c r="F566" s="20">
        <f t="shared" si="154"/>
        <v>100000</v>
      </c>
      <c r="G566" s="20">
        <f t="shared" si="154"/>
        <v>100000</v>
      </c>
    </row>
    <row r="567" spans="1:7" x14ac:dyDescent="0.25">
      <c r="A567" s="1" t="s">
        <v>244</v>
      </c>
      <c r="B567" s="17" t="s">
        <v>243</v>
      </c>
      <c r="C567" s="18" t="s">
        <v>245</v>
      </c>
      <c r="D567" s="19"/>
      <c r="E567" s="20">
        <f>E568</f>
        <v>94918</v>
      </c>
      <c r="F567" s="20">
        <f t="shared" si="154"/>
        <v>100000</v>
      </c>
      <c r="G567" s="20">
        <f t="shared" si="154"/>
        <v>100000</v>
      </c>
    </row>
    <row r="568" spans="1:7" x14ac:dyDescent="0.25">
      <c r="A568" s="1" t="s">
        <v>246</v>
      </c>
      <c r="B568" s="17" t="s">
        <v>243</v>
      </c>
      <c r="C568" s="18" t="s">
        <v>245</v>
      </c>
      <c r="D568" s="19">
        <v>700</v>
      </c>
      <c r="E568" s="31">
        <f>100000+2900-2900-5082</f>
        <v>94918</v>
      </c>
      <c r="F568" s="31">
        <f>100000+9521.3-9521.3</f>
        <v>100000</v>
      </c>
      <c r="G568" s="31">
        <v>100000</v>
      </c>
    </row>
    <row r="569" spans="1:7" s="15" customFormat="1" ht="10.5" customHeight="1" x14ac:dyDescent="0.25">
      <c r="A569" s="1"/>
      <c r="B569" s="24"/>
      <c r="C569" s="18"/>
      <c r="D569" s="74"/>
      <c r="E569" s="21"/>
    </row>
    <row r="570" spans="1:7" s="15" customFormat="1" ht="15.75" x14ac:dyDescent="0.25">
      <c r="A570" s="108"/>
      <c r="B570" s="24"/>
      <c r="C570" s="18"/>
      <c r="D570" s="74"/>
      <c r="E570" s="21"/>
      <c r="F570" s="31"/>
      <c r="G570" s="31"/>
    </row>
    <row r="571" spans="1:7" x14ac:dyDescent="0.25">
      <c r="A571" s="10" t="s">
        <v>462</v>
      </c>
      <c r="B571" s="16"/>
      <c r="C571" s="16"/>
      <c r="D571" s="75"/>
      <c r="E571" s="14">
        <f>E9+E102+E111+E138+E234+E332+E452+E532+E553+E564+E482+E570</f>
        <v>5472411.3000000007</v>
      </c>
      <c r="F571" s="14">
        <f>F9+F102+F111+F138+F234+F332+F452+F532+F553+F564+F482+F570</f>
        <v>4262236.3999999994</v>
      </c>
      <c r="G571" s="14">
        <f>G9+G102+G111+G138+G234+G332+G452+G532+G553+G564+G482+G570</f>
        <v>4376687.8</v>
      </c>
    </row>
    <row r="572" spans="1:7" x14ac:dyDescent="0.25">
      <c r="A572" s="76"/>
      <c r="B572" s="18"/>
      <c r="C572" s="18"/>
      <c r="D572" s="74"/>
      <c r="E572" s="77"/>
    </row>
    <row r="573" spans="1:7" x14ac:dyDescent="0.25">
      <c r="A573" s="78"/>
      <c r="B573" s="18"/>
      <c r="C573" s="18"/>
      <c r="D573" s="74"/>
    </row>
    <row r="574" spans="1:7" s="15" customFormat="1" x14ac:dyDescent="0.25">
      <c r="A574" s="76"/>
      <c r="B574" s="18"/>
      <c r="C574" s="19"/>
      <c r="D574" s="74"/>
      <c r="E574" s="77"/>
    </row>
    <row r="575" spans="1:7" x14ac:dyDescent="0.25">
      <c r="A575" s="10"/>
      <c r="B575" s="18"/>
      <c r="C575" s="19"/>
      <c r="D575" s="80"/>
    </row>
    <row r="576" spans="1:7" x14ac:dyDescent="0.25">
      <c r="A576" s="10"/>
      <c r="B576" s="16"/>
      <c r="C576" s="13"/>
      <c r="D576" s="80"/>
      <c r="E576" s="114"/>
      <c r="F576" s="114"/>
      <c r="G576" s="114"/>
    </row>
    <row r="577" spans="1:5" x14ac:dyDescent="0.25">
      <c r="A577" s="1"/>
      <c r="B577" s="18"/>
      <c r="C577" s="19"/>
      <c r="D577" s="74"/>
    </row>
    <row r="578" spans="1:5" x14ac:dyDescent="0.25">
      <c r="A578" s="81"/>
      <c r="B578" s="18"/>
      <c r="C578" s="19"/>
      <c r="D578" s="74"/>
    </row>
    <row r="579" spans="1:5" x14ac:dyDescent="0.25">
      <c r="A579" s="82"/>
      <c r="B579" s="18"/>
      <c r="C579" s="19"/>
      <c r="D579" s="74"/>
    </row>
    <row r="580" spans="1:5" x14ac:dyDescent="0.25">
      <c r="A580" s="36"/>
      <c r="B580" s="18"/>
      <c r="C580" s="19"/>
      <c r="D580" s="74"/>
    </row>
    <row r="581" spans="1:5" x14ac:dyDescent="0.25">
      <c r="A581" s="76"/>
      <c r="B581" s="18"/>
      <c r="C581" s="19"/>
      <c r="D581" s="74"/>
    </row>
    <row r="582" spans="1:5" x14ac:dyDescent="0.25">
      <c r="A582" s="83"/>
      <c r="B582" s="84"/>
      <c r="C582" s="43"/>
      <c r="D582" s="80"/>
    </row>
    <row r="583" spans="1:5" x14ac:dyDescent="0.25">
      <c r="A583" s="85"/>
      <c r="B583" s="16"/>
      <c r="C583" s="13"/>
      <c r="D583" s="80"/>
    </row>
    <row r="584" spans="1:5" x14ac:dyDescent="0.25">
      <c r="A584" s="76"/>
      <c r="B584" s="18"/>
      <c r="C584" s="19"/>
      <c r="D584" s="74"/>
    </row>
    <row r="585" spans="1:5" x14ac:dyDescent="0.25">
      <c r="A585" s="76"/>
      <c r="B585" s="18"/>
      <c r="C585" s="19"/>
      <c r="D585" s="74"/>
    </row>
    <row r="586" spans="1:5" x14ac:dyDescent="0.25">
      <c r="A586" s="76"/>
      <c r="B586" s="18"/>
      <c r="C586" s="19"/>
      <c r="D586" s="74"/>
    </row>
    <row r="587" spans="1:5" x14ac:dyDescent="0.25">
      <c r="A587" s="85"/>
      <c r="B587" s="16"/>
      <c r="C587" s="13"/>
      <c r="D587" s="80"/>
      <c r="E587" s="15"/>
    </row>
    <row r="588" spans="1:5" x14ac:dyDescent="0.25">
      <c r="A588" s="76"/>
      <c r="B588" s="18"/>
      <c r="C588" s="19"/>
      <c r="D588" s="74"/>
    </row>
    <row r="589" spans="1:5" x14ac:dyDescent="0.25">
      <c r="A589" s="76"/>
      <c r="B589" s="18"/>
      <c r="C589" s="19"/>
      <c r="D589" s="74"/>
    </row>
    <row r="590" spans="1:5" x14ac:dyDescent="0.25">
      <c r="A590" s="76"/>
      <c r="B590" s="18"/>
      <c r="C590" s="19"/>
      <c r="D590" s="74"/>
    </row>
    <row r="591" spans="1:5" x14ac:dyDescent="0.25">
      <c r="A591" s="76"/>
      <c r="B591" s="18"/>
      <c r="C591" s="19"/>
      <c r="D591" s="74"/>
    </row>
    <row r="592" spans="1:5" x14ac:dyDescent="0.25">
      <c r="A592" s="76"/>
      <c r="B592" s="18"/>
      <c r="C592" s="19"/>
      <c r="D592" s="74"/>
    </row>
    <row r="593" spans="1:4" x14ac:dyDescent="0.25">
      <c r="A593" s="79"/>
      <c r="B593" s="18"/>
      <c r="C593" s="19"/>
      <c r="D593" s="74"/>
    </row>
    <row r="594" spans="1:4" x14ac:dyDescent="0.25">
      <c r="A594" s="76"/>
      <c r="B594" s="18"/>
      <c r="C594" s="19"/>
      <c r="D594" s="74"/>
    </row>
    <row r="595" spans="1:4" x14ac:dyDescent="0.25">
      <c r="A595" s="76"/>
      <c r="B595" s="18"/>
      <c r="C595" s="19"/>
      <c r="D595" s="74"/>
    </row>
    <row r="596" spans="1:4" x14ac:dyDescent="0.25">
      <c r="A596" s="76"/>
      <c r="B596" s="18"/>
      <c r="C596" s="19"/>
      <c r="D596" s="74"/>
    </row>
    <row r="597" spans="1:4" x14ac:dyDescent="0.25">
      <c r="A597" s="76"/>
      <c r="B597" s="18"/>
      <c r="C597" s="19"/>
      <c r="D597" s="74"/>
    </row>
    <row r="598" spans="1:4" x14ac:dyDescent="0.25">
      <c r="A598" s="76"/>
      <c r="B598" s="18"/>
      <c r="C598" s="19"/>
      <c r="D598" s="74"/>
    </row>
    <row r="599" spans="1:4" x14ac:dyDescent="0.25">
      <c r="A599" s="76"/>
      <c r="B599" s="18"/>
      <c r="C599" s="19"/>
      <c r="D599" s="74"/>
    </row>
    <row r="600" spans="1:4" x14ac:dyDescent="0.25">
      <c r="A600" s="81"/>
      <c r="B600" s="18"/>
      <c r="C600" s="19"/>
      <c r="D600" s="74"/>
    </row>
    <row r="601" spans="1:4" x14ac:dyDescent="0.25">
      <c r="A601" s="86"/>
      <c r="B601" s="18"/>
      <c r="C601" s="19"/>
      <c r="D601" s="74"/>
    </row>
    <row r="602" spans="1:4" x14ac:dyDescent="0.25">
      <c r="A602" s="1"/>
      <c r="B602" s="18"/>
      <c r="C602" s="19"/>
      <c r="D602" s="74"/>
    </row>
    <row r="603" spans="1:4" x14ac:dyDescent="0.25">
      <c r="A603" s="87"/>
      <c r="B603" s="88"/>
      <c r="C603" s="35"/>
      <c r="D603" s="74"/>
    </row>
    <row r="604" spans="1:4" x14ac:dyDescent="0.25">
      <c r="A604" s="87"/>
      <c r="B604" s="88"/>
      <c r="C604" s="35"/>
      <c r="D604" s="74"/>
    </row>
    <row r="605" spans="1:4" x14ac:dyDescent="0.25">
      <c r="A605" s="87"/>
      <c r="B605" s="88"/>
      <c r="C605" s="35"/>
      <c r="D605" s="74"/>
    </row>
    <row r="606" spans="1:4" x14ac:dyDescent="0.25">
      <c r="A606" s="76"/>
      <c r="B606" s="88"/>
      <c r="C606" s="35"/>
      <c r="D606" s="74"/>
    </row>
    <row r="607" spans="1:4" x14ac:dyDescent="0.25">
      <c r="A607" s="87"/>
      <c r="B607" s="88"/>
      <c r="C607" s="35"/>
      <c r="D607" s="74"/>
    </row>
    <row r="608" spans="1:4" x14ac:dyDescent="0.25">
      <c r="A608" s="86"/>
      <c r="B608" s="34"/>
      <c r="C608" s="35"/>
      <c r="D608" s="74"/>
    </row>
    <row r="609" spans="1:4" x14ac:dyDescent="0.25">
      <c r="A609" s="76"/>
      <c r="B609" s="34"/>
      <c r="C609" s="35"/>
      <c r="D609" s="74"/>
    </row>
    <row r="610" spans="1:4" x14ac:dyDescent="0.25">
      <c r="A610" s="87"/>
      <c r="B610" s="88"/>
      <c r="C610" s="35"/>
      <c r="D610" s="74"/>
    </row>
    <row r="611" spans="1:4" x14ac:dyDescent="0.25">
      <c r="A611" s="89"/>
      <c r="B611" s="88"/>
      <c r="C611" s="35"/>
      <c r="D611" s="74"/>
    </row>
    <row r="612" spans="1:4" x14ac:dyDescent="0.25">
      <c r="A612" s="89"/>
      <c r="B612" s="88"/>
      <c r="C612" s="35"/>
      <c r="D612" s="74"/>
    </row>
    <row r="613" spans="1:4" x14ac:dyDescent="0.25">
      <c r="A613" s="89"/>
      <c r="B613" s="88"/>
      <c r="C613" s="35"/>
      <c r="D613" s="74"/>
    </row>
    <row r="614" spans="1:4" x14ac:dyDescent="0.25">
      <c r="A614" s="90"/>
      <c r="B614" s="34"/>
      <c r="C614" s="35"/>
      <c r="D614" s="74"/>
    </row>
    <row r="615" spans="1:4" x14ac:dyDescent="0.25">
      <c r="A615" s="89"/>
      <c r="B615" s="34"/>
      <c r="C615" s="35"/>
      <c r="D615" s="74"/>
    </row>
    <row r="616" spans="1:4" x14ac:dyDescent="0.25">
      <c r="A616" s="83"/>
      <c r="B616" s="84"/>
      <c r="C616" s="42"/>
      <c r="D616" s="80"/>
    </row>
    <row r="617" spans="1:4" x14ac:dyDescent="0.25">
      <c r="A617" s="76"/>
      <c r="B617" s="18"/>
      <c r="C617" s="42"/>
      <c r="D617" s="74"/>
    </row>
    <row r="618" spans="1:4" x14ac:dyDescent="0.25">
      <c r="A618" s="78"/>
      <c r="B618" s="18"/>
      <c r="C618" s="34"/>
      <c r="D618" s="74"/>
    </row>
    <row r="619" spans="1:4" x14ac:dyDescent="0.25">
      <c r="A619" s="90"/>
      <c r="B619" s="18"/>
      <c r="C619" s="34"/>
      <c r="D619" s="74"/>
    </row>
    <row r="620" spans="1:4" x14ac:dyDescent="0.25">
      <c r="A620" s="36"/>
      <c r="B620" s="18"/>
      <c r="C620" s="34"/>
      <c r="D620" s="74"/>
    </row>
    <row r="621" spans="1:4" x14ac:dyDescent="0.25">
      <c r="A621" s="76"/>
      <c r="B621" s="18"/>
      <c r="C621" s="34"/>
      <c r="D621" s="74"/>
    </row>
    <row r="622" spans="1:4" x14ac:dyDescent="0.25">
      <c r="A622" s="89"/>
      <c r="B622" s="18"/>
      <c r="C622" s="34"/>
      <c r="D622" s="74"/>
    </row>
    <row r="623" spans="1:4" x14ac:dyDescent="0.25">
      <c r="A623" s="76"/>
      <c r="B623" s="18"/>
      <c r="C623" s="17"/>
      <c r="D623" s="74"/>
    </row>
    <row r="624" spans="1:4" x14ac:dyDescent="0.25">
      <c r="A624" s="79"/>
      <c r="B624" s="18"/>
      <c r="C624" s="17"/>
      <c r="D624" s="74"/>
    </row>
    <row r="625" spans="1:4" x14ac:dyDescent="0.25">
      <c r="A625" s="78"/>
      <c r="B625" s="18"/>
      <c r="C625" s="19"/>
      <c r="D625" s="74"/>
    </row>
    <row r="626" spans="1:4" x14ac:dyDescent="0.25">
      <c r="A626" s="76"/>
      <c r="B626" s="18"/>
      <c r="C626" s="19"/>
      <c r="D626" s="74"/>
    </row>
    <row r="627" spans="1:4" x14ac:dyDescent="0.25">
      <c r="A627" s="79"/>
      <c r="B627" s="18"/>
      <c r="C627" s="17"/>
      <c r="D627" s="74"/>
    </row>
    <row r="628" spans="1:4" x14ac:dyDescent="0.25">
      <c r="A628" s="49"/>
      <c r="B628" s="18"/>
      <c r="C628" s="19"/>
      <c r="D628" s="74"/>
    </row>
    <row r="629" spans="1:4" x14ac:dyDescent="0.25">
      <c r="A629" s="1"/>
      <c r="B629" s="18"/>
      <c r="C629" s="19"/>
      <c r="D629" s="74"/>
    </row>
    <row r="630" spans="1:4" x14ac:dyDescent="0.25">
      <c r="A630" s="76"/>
      <c r="B630" s="18"/>
      <c r="C630" s="19"/>
      <c r="D630" s="74"/>
    </row>
    <row r="631" spans="1:4" x14ac:dyDescent="0.25">
      <c r="A631" s="91"/>
      <c r="B631" s="18"/>
      <c r="C631" s="19"/>
      <c r="D631" s="74"/>
    </row>
    <row r="632" spans="1:4" x14ac:dyDescent="0.25">
      <c r="A632" s="1"/>
      <c r="B632" s="18"/>
      <c r="C632" s="19"/>
      <c r="D632" s="74"/>
    </row>
    <row r="633" spans="1:4" x14ac:dyDescent="0.25">
      <c r="A633" s="76"/>
      <c r="B633" s="18"/>
      <c r="C633" s="19"/>
      <c r="D633" s="74"/>
    </row>
    <row r="634" spans="1:4" x14ac:dyDescent="0.25">
      <c r="A634" s="91"/>
      <c r="B634" s="18"/>
      <c r="C634" s="19"/>
      <c r="D634" s="74"/>
    </row>
    <row r="635" spans="1:4" x14ac:dyDescent="0.25">
      <c r="A635" s="1"/>
      <c r="B635" s="18"/>
      <c r="C635" s="19"/>
      <c r="D635" s="74"/>
    </row>
    <row r="636" spans="1:4" x14ac:dyDescent="0.25">
      <c r="A636" s="76"/>
      <c r="B636" s="18"/>
      <c r="C636" s="19"/>
      <c r="D636" s="74"/>
    </row>
    <row r="637" spans="1:4" x14ac:dyDescent="0.25">
      <c r="A637" s="85"/>
      <c r="B637" s="16"/>
      <c r="C637" s="13"/>
      <c r="D637" s="80"/>
    </row>
    <row r="638" spans="1:4" x14ac:dyDescent="0.25">
      <c r="A638" s="85"/>
      <c r="B638" s="16"/>
      <c r="C638" s="13"/>
      <c r="D638" s="80"/>
    </row>
    <row r="639" spans="1:4" x14ac:dyDescent="0.25">
      <c r="A639" s="76"/>
      <c r="B639" s="18"/>
      <c r="C639" s="19"/>
      <c r="D639" s="74"/>
    </row>
    <row r="640" spans="1:4" x14ac:dyDescent="0.25">
      <c r="A640" s="79"/>
      <c r="B640" s="18"/>
      <c r="C640" s="19"/>
      <c r="D640" s="74"/>
    </row>
    <row r="641" spans="1:4" x14ac:dyDescent="0.25">
      <c r="A641" s="76"/>
      <c r="B641" s="18"/>
      <c r="C641" s="19"/>
      <c r="D641" s="74"/>
    </row>
    <row r="642" spans="1:4" x14ac:dyDescent="0.25">
      <c r="A642" s="85"/>
      <c r="B642" s="16"/>
      <c r="C642" s="13"/>
      <c r="D642" s="80"/>
    </row>
    <row r="643" spans="1:4" x14ac:dyDescent="0.25">
      <c r="A643" s="76"/>
      <c r="B643" s="18"/>
      <c r="C643" s="19"/>
      <c r="D643" s="74"/>
    </row>
    <row r="644" spans="1:4" x14ac:dyDescent="0.25">
      <c r="A644" s="76"/>
      <c r="B644" s="18"/>
      <c r="C644" s="19"/>
      <c r="D644" s="74"/>
    </row>
    <row r="645" spans="1:4" x14ac:dyDescent="0.25">
      <c r="A645" s="76"/>
      <c r="B645" s="18"/>
      <c r="C645" s="19"/>
      <c r="D645" s="74"/>
    </row>
    <row r="646" spans="1:4" x14ac:dyDescent="0.25">
      <c r="A646" s="76"/>
      <c r="B646" s="18"/>
      <c r="C646" s="19"/>
      <c r="D646" s="74"/>
    </row>
    <row r="647" spans="1:4" x14ac:dyDescent="0.25">
      <c r="A647" s="76"/>
      <c r="B647" s="18"/>
      <c r="C647" s="19"/>
      <c r="D647" s="74"/>
    </row>
    <row r="648" spans="1:4" x14ac:dyDescent="0.25">
      <c r="A648" s="76"/>
      <c r="B648" s="18"/>
      <c r="C648" s="19"/>
      <c r="D648" s="74"/>
    </row>
    <row r="649" spans="1:4" x14ac:dyDescent="0.25">
      <c r="A649" s="76"/>
      <c r="B649" s="18"/>
      <c r="C649" s="19"/>
      <c r="D649" s="74"/>
    </row>
    <row r="650" spans="1:4" x14ac:dyDescent="0.25">
      <c r="A650" s="1"/>
      <c r="B650" s="18"/>
      <c r="C650" s="19"/>
      <c r="D650" s="74"/>
    </row>
    <row r="651" spans="1:4" x14ac:dyDescent="0.25">
      <c r="A651" s="36"/>
      <c r="B651" s="18"/>
      <c r="C651" s="19"/>
      <c r="D651" s="74"/>
    </row>
    <row r="652" spans="1:4" x14ac:dyDescent="0.25">
      <c r="A652" s="76"/>
      <c r="B652" s="18"/>
      <c r="C652" s="19"/>
      <c r="D652" s="74"/>
    </row>
    <row r="653" spans="1:4" x14ac:dyDescent="0.25">
      <c r="A653" s="76"/>
      <c r="B653" s="18"/>
      <c r="C653" s="19"/>
      <c r="D653" s="74"/>
    </row>
    <row r="654" spans="1:4" x14ac:dyDescent="0.25">
      <c r="A654" s="92"/>
      <c r="B654" s="84"/>
      <c r="C654" s="43"/>
      <c r="D654" s="80"/>
    </row>
    <row r="655" spans="1:4" x14ac:dyDescent="0.25">
      <c r="A655" s="83"/>
      <c r="B655" s="84"/>
      <c r="C655" s="43"/>
      <c r="D655" s="80"/>
    </row>
    <row r="656" spans="1:4" x14ac:dyDescent="0.25">
      <c r="A656" s="93"/>
      <c r="B656" s="88"/>
      <c r="C656" s="35"/>
      <c r="D656" s="74"/>
    </row>
    <row r="657" spans="1:7" x14ac:dyDescent="0.25">
      <c r="A657" s="89"/>
      <c r="B657" s="88"/>
      <c r="C657" s="35"/>
      <c r="D657" s="74"/>
    </row>
    <row r="658" spans="1:7" x14ac:dyDescent="0.25">
      <c r="A658" s="89"/>
      <c r="B658" s="88"/>
      <c r="C658" s="35"/>
      <c r="D658" s="74"/>
    </row>
    <row r="659" spans="1:7" x14ac:dyDescent="0.25">
      <c r="A659" s="83"/>
      <c r="B659" s="84"/>
      <c r="C659" s="43"/>
      <c r="D659" s="80"/>
    </row>
    <row r="660" spans="1:7" x14ac:dyDescent="0.25">
      <c r="A660" s="93"/>
      <c r="B660" s="88"/>
      <c r="C660" s="35"/>
      <c r="D660" s="74"/>
    </row>
    <row r="661" spans="1:7" x14ac:dyDescent="0.25">
      <c r="A661" s="87"/>
      <c r="B661" s="88"/>
      <c r="C661" s="35"/>
      <c r="D661" s="74"/>
    </row>
    <row r="662" spans="1:7" x14ac:dyDescent="0.25">
      <c r="A662" s="89"/>
      <c r="B662" s="88"/>
      <c r="C662" s="35"/>
      <c r="D662" s="74"/>
    </row>
    <row r="663" spans="1:7" x14ac:dyDescent="0.25">
      <c r="A663" s="85"/>
      <c r="B663" s="16"/>
      <c r="C663" s="13"/>
      <c r="D663" s="80"/>
    </row>
    <row r="664" spans="1:7" x14ac:dyDescent="0.25">
      <c r="A664" s="85"/>
      <c r="B664" s="16"/>
      <c r="C664" s="13"/>
      <c r="D664" s="80"/>
    </row>
    <row r="665" spans="1:7" x14ac:dyDescent="0.25">
      <c r="A665" s="76"/>
      <c r="B665" s="18"/>
      <c r="C665" s="19"/>
      <c r="D665" s="74"/>
    </row>
    <row r="666" spans="1:7" x14ac:dyDescent="0.25">
      <c r="A666" s="76"/>
      <c r="B666" s="18"/>
      <c r="C666" s="19"/>
      <c r="D666" s="74"/>
    </row>
    <row r="667" spans="1:7" x14ac:dyDescent="0.25">
      <c r="A667" s="76"/>
      <c r="B667" s="18"/>
      <c r="C667" s="19"/>
      <c r="D667" s="74"/>
    </row>
    <row r="668" spans="1:7" x14ac:dyDescent="0.25">
      <c r="A668" s="10"/>
      <c r="B668" s="10"/>
      <c r="C668" s="94"/>
      <c r="D668" s="95"/>
      <c r="E668" s="96"/>
    </row>
    <row r="669" spans="1:7" x14ac:dyDescent="0.25">
      <c r="E669" s="77"/>
    </row>
    <row r="671" spans="1:7" x14ac:dyDescent="0.25">
      <c r="E671" s="77"/>
      <c r="F671" s="77"/>
      <c r="G671" s="77"/>
    </row>
    <row r="672" spans="1:7" x14ac:dyDescent="0.25">
      <c r="E672" s="77"/>
      <c r="F672" s="77"/>
      <c r="G672" s="77"/>
    </row>
    <row r="673" spans="5:7" x14ac:dyDescent="0.25">
      <c r="E673" s="77"/>
      <c r="F673" s="77"/>
      <c r="G673" s="77"/>
    </row>
  </sheetData>
  <mergeCells count="7">
    <mergeCell ref="A6:G6"/>
    <mergeCell ref="C5:E5"/>
    <mergeCell ref="C4:E4"/>
    <mergeCell ref="C1:G1"/>
    <mergeCell ref="C2:G2"/>
    <mergeCell ref="C3:G3"/>
    <mergeCell ref="F4:G4"/>
  </mergeCells>
  <pageMargins left="0.51181102362204722" right="0.19685039370078741" top="0.35433070866141736" bottom="0.19685039370078741" header="0.31496062992125984" footer="0.15748031496062992"/>
  <pageSetup paperSize="9" scale="75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2018-04-13T03:07:29Z</cp:lastPrinted>
  <dcterms:created xsi:type="dcterms:W3CDTF">2016-11-03T06:32:07Z</dcterms:created>
  <dcterms:modified xsi:type="dcterms:W3CDTF">2018-04-26T04:39:25Z</dcterms:modified>
</cp:coreProperties>
</file>