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6380" yWindow="15" windowWidth="11715" windowHeight="12585"/>
  </bookViews>
  <sheets>
    <sheet name="рпр" sheetId="3" r:id="rId1"/>
  </sheets>
  <definedNames>
    <definedName name="_xlnm._FilterDatabase" localSheetId="0" hidden="1">рпр!$C$1:$C$769</definedName>
    <definedName name="_xlnm.Print_Titles" localSheetId="0">рпр!$8:$8</definedName>
  </definedNames>
  <calcPr calcId="144525"/>
</workbook>
</file>

<file path=xl/calcChain.xml><?xml version="1.0" encoding="utf-8"?>
<calcChain xmlns="http://schemas.openxmlformats.org/spreadsheetml/2006/main">
  <c r="E200" i="3" l="1"/>
  <c r="E356" i="3"/>
  <c r="E352" i="3"/>
  <c r="E164" i="3"/>
  <c r="E505" i="3" l="1"/>
  <c r="E471" i="3"/>
  <c r="E437" i="3"/>
  <c r="E122" i="3"/>
  <c r="E119" i="3"/>
  <c r="E77" i="3"/>
  <c r="E53" i="3"/>
  <c r="E52" i="3"/>
  <c r="E644" i="3"/>
  <c r="E637" i="3"/>
  <c r="E633" i="3"/>
  <c r="E632" i="3"/>
  <c r="E586" i="3"/>
  <c r="E340" i="3"/>
  <c r="E639" i="3"/>
  <c r="E629" i="3"/>
  <c r="F297" i="3" l="1"/>
  <c r="G297" i="3"/>
  <c r="E299" i="3"/>
  <c r="E297" i="3" s="1"/>
  <c r="E344" i="3" l="1"/>
  <c r="E204" i="3" l="1"/>
  <c r="E206" i="3"/>
  <c r="E548" i="3"/>
  <c r="F249" i="3" l="1"/>
  <c r="F77" i="3" l="1"/>
  <c r="E249" i="3"/>
  <c r="E571" i="3" l="1"/>
  <c r="E567" i="3"/>
  <c r="E564" i="3"/>
  <c r="E559" i="3"/>
  <c r="E487" i="3"/>
  <c r="E406" i="3"/>
  <c r="E82" i="3"/>
  <c r="E80" i="3"/>
  <c r="E72" i="3"/>
  <c r="E71" i="3"/>
  <c r="E33" i="3"/>
  <c r="F542" i="3"/>
  <c r="F204" i="3"/>
  <c r="E39" i="3" l="1"/>
  <c r="E544" i="3" l="1"/>
  <c r="E543" i="3" s="1"/>
  <c r="E293" i="3"/>
  <c r="E32" i="3"/>
  <c r="E58" i="3"/>
  <c r="E57" i="3" s="1"/>
  <c r="F57" i="3"/>
  <c r="G57" i="3"/>
  <c r="E269" i="3"/>
  <c r="E96" i="3"/>
  <c r="E90" i="3"/>
  <c r="E68" i="3"/>
  <c r="E67" i="3"/>
  <c r="F543" i="3"/>
  <c r="G543" i="3"/>
  <c r="E542" i="3"/>
  <c r="E541" i="3" s="1"/>
  <c r="E615" i="3" l="1"/>
  <c r="E614" i="3"/>
  <c r="E503" i="3"/>
  <c r="E450" i="3"/>
  <c r="E411" i="3"/>
  <c r="E132" i="3"/>
  <c r="E127" i="3"/>
  <c r="E370" i="3"/>
  <c r="E363" i="3"/>
  <c r="E346" i="3"/>
  <c r="E301" i="3"/>
  <c r="E194" i="3"/>
  <c r="F191" i="3"/>
  <c r="G191" i="3"/>
  <c r="E191" i="3"/>
  <c r="F63" i="3" l="1"/>
  <c r="E188" i="3"/>
  <c r="E171" i="3"/>
  <c r="E150" i="3"/>
  <c r="E79" i="3"/>
  <c r="E75" i="3"/>
  <c r="G43" i="3"/>
  <c r="G42" i="3"/>
  <c r="F43" i="3"/>
  <c r="F42" i="3"/>
  <c r="E43" i="3"/>
  <c r="E42" i="3"/>
  <c r="G40" i="3"/>
  <c r="G39" i="3"/>
  <c r="F40" i="3"/>
  <c r="F39" i="3"/>
  <c r="E40" i="3"/>
  <c r="G37" i="3"/>
  <c r="G36" i="3"/>
  <c r="F37" i="3"/>
  <c r="F36" i="3"/>
  <c r="E37" i="3"/>
  <c r="E36" i="3"/>
  <c r="E176" i="3"/>
  <c r="E113" i="3"/>
  <c r="E474" i="3" l="1"/>
  <c r="E508" i="3" l="1"/>
  <c r="E76" i="3"/>
  <c r="F385" i="3" l="1"/>
  <c r="F384" i="3" s="1"/>
  <c r="F383" i="3" s="1"/>
  <c r="F382" i="3" s="1"/>
  <c r="G385" i="3"/>
  <c r="G384" i="3" s="1"/>
  <c r="G383" i="3" s="1"/>
  <c r="G382" i="3" s="1"/>
  <c r="E385" i="3"/>
  <c r="E384" i="3" s="1"/>
  <c r="E383" i="3" s="1"/>
  <c r="E382" i="3" s="1"/>
  <c r="E91" i="3"/>
  <c r="E69" i="3"/>
  <c r="E558" i="3"/>
  <c r="E618" i="3"/>
  <c r="E617" i="3"/>
  <c r="E535" i="3"/>
  <c r="E530" i="3"/>
  <c r="E510" i="3"/>
  <c r="E509" i="3"/>
  <c r="E506" i="3"/>
  <c r="F479" i="3"/>
  <c r="G479" i="3"/>
  <c r="E479" i="3"/>
  <c r="E463" i="3"/>
  <c r="E461" i="3" s="1"/>
  <c r="F461" i="3"/>
  <c r="G461" i="3"/>
  <c r="E464" i="3"/>
  <c r="F464" i="3"/>
  <c r="G464" i="3"/>
  <c r="E452" i="3"/>
  <c r="F449" i="3"/>
  <c r="G449" i="3"/>
  <c r="E449" i="3"/>
  <c r="E448" i="3"/>
  <c r="F422" i="3"/>
  <c r="G422" i="3"/>
  <c r="E422" i="3"/>
  <c r="E419" i="3"/>
  <c r="F110" i="3" l="1"/>
  <c r="G110" i="3"/>
  <c r="E110" i="3"/>
  <c r="E391" i="3"/>
  <c r="F367" i="3"/>
  <c r="G367" i="3"/>
  <c r="E367" i="3"/>
  <c r="E358" i="3"/>
  <c r="G329" i="3"/>
  <c r="E330" i="3"/>
  <c r="E329" i="3" s="1"/>
  <c r="F327" i="3"/>
  <c r="G327" i="3"/>
  <c r="F329" i="3"/>
  <c r="E327" i="3"/>
  <c r="E326" i="3" l="1"/>
  <c r="G326" i="3"/>
  <c r="F326" i="3"/>
  <c r="E495" i="3" l="1"/>
  <c r="E492" i="3"/>
  <c r="F318" i="3"/>
  <c r="G318" i="3"/>
  <c r="E319" i="3"/>
  <c r="E318" i="3" s="1"/>
  <c r="E237" i="3"/>
  <c r="E235" i="3"/>
  <c r="E233" i="3"/>
  <c r="E231" i="3"/>
  <c r="E229" i="3"/>
  <c r="E225" i="3"/>
  <c r="E205" i="3"/>
  <c r="F172" i="3"/>
  <c r="G172" i="3"/>
  <c r="E172" i="3"/>
  <c r="E203" i="3" l="1"/>
  <c r="G362" i="3" l="1"/>
  <c r="G361" i="3" s="1"/>
  <c r="F362" i="3"/>
  <c r="F361" i="3" s="1"/>
  <c r="E362" i="3"/>
  <c r="E361" i="3" s="1"/>
  <c r="F141" i="3" l="1"/>
  <c r="G141" i="3"/>
  <c r="E141" i="3"/>
  <c r="E376" i="3" l="1"/>
  <c r="E378" i="3"/>
  <c r="E377" i="3" s="1"/>
  <c r="E63" i="3"/>
  <c r="F377" i="3"/>
  <c r="G377" i="3"/>
  <c r="F264" i="3" l="1"/>
  <c r="G264" i="3"/>
  <c r="E264" i="3"/>
  <c r="E458" i="3" l="1"/>
  <c r="E430" i="3"/>
  <c r="E392" i="3"/>
  <c r="G380" i="3"/>
  <c r="F380" i="3"/>
  <c r="E348" i="3"/>
  <c r="E602" i="3" l="1"/>
  <c r="E593" i="3"/>
  <c r="G269" i="3"/>
  <c r="F269" i="3"/>
  <c r="F262" i="3"/>
  <c r="G262" i="3"/>
  <c r="E262" i="3"/>
  <c r="E563" i="3"/>
  <c r="F551" i="3"/>
  <c r="F550" i="3" s="1"/>
  <c r="F549" i="3" s="1"/>
  <c r="G551" i="3"/>
  <c r="G550" i="3" s="1"/>
  <c r="G549" i="3" s="1"/>
  <c r="E551" i="3"/>
  <c r="E550" i="3" s="1"/>
  <c r="E549" i="3" s="1"/>
  <c r="E517" i="3"/>
  <c r="E516" i="3"/>
  <c r="E482" i="3"/>
  <c r="F429" i="3"/>
  <c r="G429" i="3"/>
  <c r="E429" i="3"/>
  <c r="E425" i="3"/>
  <c r="F410" i="3"/>
  <c r="G410" i="3"/>
  <c r="E410" i="3"/>
  <c r="E131" i="3"/>
  <c r="F120" i="3"/>
  <c r="G120" i="3"/>
  <c r="E120" i="3"/>
  <c r="F357" i="3"/>
  <c r="G357" i="3"/>
  <c r="E357" i="3"/>
  <c r="F218" i="3"/>
  <c r="F217" i="3" s="1"/>
  <c r="F216" i="3" s="1"/>
  <c r="F215" i="3" s="1"/>
  <c r="G218" i="3"/>
  <c r="G217" i="3" s="1"/>
  <c r="G216" i="3" s="1"/>
  <c r="G215" i="3" s="1"/>
  <c r="F175" i="3"/>
  <c r="G175" i="3"/>
  <c r="E175" i="3"/>
  <c r="E202" i="3"/>
  <c r="F199" i="3"/>
  <c r="G199" i="3"/>
  <c r="E199" i="3"/>
  <c r="E635" i="3"/>
  <c r="E582" i="3"/>
  <c r="E494" i="3"/>
  <c r="F413" i="3"/>
  <c r="E413" i="3"/>
  <c r="E398" i="3"/>
  <c r="F375" i="3"/>
  <c r="G375" i="3"/>
  <c r="E375" i="3"/>
  <c r="E380" i="3"/>
  <c r="E315" i="3"/>
  <c r="E311" i="3"/>
  <c r="E303" i="3"/>
  <c r="F250" i="3" l="1"/>
  <c r="G250" i="3"/>
  <c r="E250" i="3"/>
  <c r="E240" i="3"/>
  <c r="F180" i="3"/>
  <c r="F170" i="3"/>
  <c r="G170" i="3"/>
  <c r="E170" i="3"/>
  <c r="E101" i="3" l="1"/>
  <c r="E31" i="3"/>
  <c r="E285" i="3"/>
  <c r="G651" i="3"/>
  <c r="G649" i="3"/>
  <c r="G510" i="3"/>
  <c r="G208" i="3"/>
  <c r="E218" i="3"/>
  <c r="E217" i="3" s="1"/>
  <c r="E216" i="3" s="1"/>
  <c r="E215" i="3" s="1"/>
  <c r="F457" i="3" l="1"/>
  <c r="G457" i="3"/>
  <c r="E457" i="3"/>
  <c r="E441" i="3"/>
  <c r="E440" i="3" s="1"/>
  <c r="G602" i="3"/>
  <c r="F602" i="3"/>
  <c r="E597" i="3"/>
  <c r="G615" i="3"/>
  <c r="F615" i="3"/>
  <c r="G612" i="3"/>
  <c r="F612" i="3"/>
  <c r="E612" i="3"/>
  <c r="G618" i="3"/>
  <c r="F618" i="3"/>
  <c r="G607" i="3"/>
  <c r="F607" i="3"/>
  <c r="E607" i="3"/>
  <c r="E525" i="3"/>
  <c r="F519" i="3"/>
  <c r="G519" i="3"/>
  <c r="E519" i="3"/>
  <c r="G517" i="3"/>
  <c r="G516" i="3"/>
  <c r="F517" i="3"/>
  <c r="F516" i="3"/>
  <c r="F507" i="3"/>
  <c r="G507" i="3"/>
  <c r="E507" i="3"/>
  <c r="E476" i="3"/>
  <c r="E475" i="3" s="1"/>
  <c r="F475" i="3"/>
  <c r="G475" i="3"/>
  <c r="F455" i="3"/>
  <c r="G455" i="3"/>
  <c r="E456" i="3"/>
  <c r="E455" i="3" s="1"/>
  <c r="G443" i="3"/>
  <c r="F443" i="3"/>
  <c r="E443" i="3"/>
  <c r="G441" i="3"/>
  <c r="G440" i="3" s="1"/>
  <c r="F441" i="3"/>
  <c r="F440" i="3" s="1"/>
  <c r="E418" i="3"/>
  <c r="F418" i="3"/>
  <c r="G418" i="3"/>
  <c r="E417" i="3"/>
  <c r="E415" i="3"/>
  <c r="E414" i="3" s="1"/>
  <c r="F414" i="3"/>
  <c r="G414" i="3"/>
  <c r="G408" i="3" l="1"/>
  <c r="E408" i="3"/>
  <c r="F408" i="3"/>
  <c r="G115" i="3"/>
  <c r="F115" i="3"/>
  <c r="E115" i="3"/>
  <c r="E350" i="3"/>
  <c r="G293" i="3"/>
  <c r="F293" i="3"/>
  <c r="F208" i="3"/>
  <c r="F201" i="3"/>
  <c r="G201" i="3"/>
  <c r="E201" i="3"/>
  <c r="G144" i="3"/>
  <c r="F144" i="3"/>
  <c r="E144" i="3"/>
  <c r="E649" i="3"/>
  <c r="E317" i="3"/>
  <c r="E313" i="3"/>
  <c r="F306" i="3"/>
  <c r="G306" i="3"/>
  <c r="E306" i="3"/>
  <c r="G296" i="3" l="1"/>
  <c r="E296" i="3"/>
  <c r="F296" i="3"/>
  <c r="E279" i="3"/>
  <c r="E196" i="3"/>
  <c r="F81" i="3"/>
  <c r="G81" i="3"/>
  <c r="E81" i="3"/>
  <c r="G48" i="3"/>
  <c r="F48" i="3"/>
  <c r="E48" i="3"/>
  <c r="E74" i="3" l="1"/>
  <c r="F102" i="3"/>
  <c r="G102" i="3"/>
  <c r="E102" i="3"/>
  <c r="E46" i="3"/>
  <c r="G323" i="3"/>
  <c r="F323" i="3"/>
  <c r="E323" i="3"/>
  <c r="G324" i="3"/>
  <c r="F324" i="3"/>
  <c r="E324" i="3"/>
  <c r="G356" i="3"/>
  <c r="F356" i="3"/>
  <c r="G359" i="3"/>
  <c r="F359" i="3"/>
  <c r="E359" i="3"/>
  <c r="G352" i="3"/>
  <c r="F352" i="3"/>
  <c r="G353" i="3"/>
  <c r="F353" i="3"/>
  <c r="E353" i="3"/>
  <c r="G348" i="3"/>
  <c r="F348" i="3"/>
  <c r="G349" i="3"/>
  <c r="F349" i="3"/>
  <c r="E349" i="3"/>
  <c r="E287" i="3"/>
  <c r="G274" i="3"/>
  <c r="F274" i="3"/>
  <c r="E274" i="3"/>
  <c r="F275" i="3"/>
  <c r="F272" i="3" s="1"/>
  <c r="G275" i="3"/>
  <c r="G272" i="3" s="1"/>
  <c r="E275" i="3"/>
  <c r="G212" i="3"/>
  <c r="F212" i="3"/>
  <c r="E212" i="3"/>
  <c r="F213" i="3"/>
  <c r="G213" i="3"/>
  <c r="E213" i="3"/>
  <c r="G198" i="3"/>
  <c r="F198" i="3"/>
  <c r="F209" i="3"/>
  <c r="G209" i="3"/>
  <c r="E209" i="3"/>
  <c r="F194" i="3"/>
  <c r="G207" i="3"/>
  <c r="F207" i="3"/>
  <c r="E207" i="3"/>
  <c r="G77" i="3"/>
  <c r="G74" i="3" s="1"/>
  <c r="E24" i="3"/>
  <c r="F74" i="3"/>
  <c r="G63" i="3"/>
  <c r="G650" i="3"/>
  <c r="F650" i="3"/>
  <c r="E650" i="3"/>
  <c r="E272" i="3" l="1"/>
  <c r="F643" i="3"/>
  <c r="G643" i="3"/>
  <c r="E643" i="3"/>
  <c r="E528" i="3" l="1"/>
  <c r="E518" i="3"/>
  <c r="F491" i="3"/>
  <c r="G491" i="3"/>
  <c r="E491" i="3"/>
  <c r="E504" i="3"/>
  <c r="G453" i="3"/>
  <c r="F453" i="3"/>
  <c r="E453" i="3"/>
  <c r="F371" i="3"/>
  <c r="G371" i="3"/>
  <c r="E372" i="3"/>
  <c r="E371" i="3" l="1"/>
  <c r="G316" i="3"/>
  <c r="F316" i="3"/>
  <c r="E316" i="3"/>
  <c r="G314" i="3"/>
  <c r="F314" i="3"/>
  <c r="E314" i="3"/>
  <c r="G312" i="3"/>
  <c r="F312" i="3"/>
  <c r="E312" i="3"/>
  <c r="G310" i="3"/>
  <c r="F310" i="3"/>
  <c r="E310" i="3"/>
  <c r="G308" i="3"/>
  <c r="F308" i="3"/>
  <c r="E308" i="3"/>
  <c r="G300" i="3"/>
  <c r="F300" i="3"/>
  <c r="E300" i="3"/>
  <c r="G304" i="3"/>
  <c r="F304" i="3"/>
  <c r="E304" i="3"/>
  <c r="G302" i="3"/>
  <c r="F302" i="3"/>
  <c r="E302" i="3"/>
  <c r="G183" i="3" l="1"/>
  <c r="F183" i="3"/>
  <c r="E183" i="3"/>
  <c r="G181" i="3"/>
  <c r="F181" i="3"/>
  <c r="E181" i="3"/>
  <c r="F179" i="3"/>
  <c r="G179" i="3"/>
  <c r="E179" i="3"/>
  <c r="F78" i="3" l="1"/>
  <c r="G78" i="3"/>
  <c r="E78" i="3"/>
  <c r="F504" i="3" l="1"/>
  <c r="G504" i="3"/>
  <c r="F153" i="3" l="1"/>
  <c r="G153" i="3"/>
  <c r="E153" i="3"/>
  <c r="E335" i="3"/>
  <c r="F416" i="3" l="1"/>
  <c r="G416" i="3"/>
  <c r="E416" i="3"/>
  <c r="F412" i="3"/>
  <c r="G412" i="3"/>
  <c r="E412" i="3"/>
  <c r="F369" i="3"/>
  <c r="F366" i="3" s="1"/>
  <c r="G369" i="3"/>
  <c r="G366" i="3" s="1"/>
  <c r="E369" i="3"/>
  <c r="E366" i="3" s="1"/>
  <c r="F409" i="3" l="1"/>
  <c r="E409" i="3"/>
  <c r="G409" i="3"/>
  <c r="F334" i="3"/>
  <c r="F333" i="3" s="1"/>
  <c r="G334" i="3"/>
  <c r="G333" i="3" s="1"/>
  <c r="E334" i="3"/>
  <c r="F189" i="3"/>
  <c r="G189" i="3"/>
  <c r="E333" i="3" l="1"/>
  <c r="F596" i="3"/>
  <c r="F595" i="3" s="1"/>
  <c r="F594" i="3" s="1"/>
  <c r="G596" i="3"/>
  <c r="G595" i="3" s="1"/>
  <c r="G594" i="3" s="1"/>
  <c r="F473" i="3"/>
  <c r="F472" i="3" s="1"/>
  <c r="G473" i="3"/>
  <c r="G472" i="3" s="1"/>
  <c r="E473" i="3"/>
  <c r="E472" i="3" s="1"/>
  <c r="E596" i="3" l="1"/>
  <c r="E595" i="3" s="1"/>
  <c r="E594" i="3" s="1"/>
  <c r="F447" i="3" l="1"/>
  <c r="G447" i="3"/>
  <c r="E447" i="3"/>
  <c r="E445" i="3"/>
  <c r="F341" i="3"/>
  <c r="G341" i="3"/>
  <c r="E341" i="3"/>
  <c r="F444" i="3"/>
  <c r="G444" i="3"/>
  <c r="F195" i="3"/>
  <c r="G195" i="3"/>
  <c r="G46" i="3"/>
  <c r="G45" i="3" s="1"/>
  <c r="G44" i="3" s="1"/>
  <c r="F46" i="3"/>
  <c r="F45" i="3" l="1"/>
  <c r="E195" i="3"/>
  <c r="E557" i="3"/>
  <c r="E444" i="3"/>
  <c r="F534" i="3"/>
  <c r="G534" i="3"/>
  <c r="G533" i="3" s="1"/>
  <c r="E534" i="3"/>
  <c r="G518" i="3"/>
  <c r="F518" i="3" l="1"/>
  <c r="F533" i="3"/>
  <c r="E45" i="3"/>
  <c r="E533" i="3"/>
  <c r="F44" i="3"/>
  <c r="E44" i="3" l="1"/>
  <c r="G203" i="3" l="1"/>
  <c r="E634" i="3"/>
  <c r="F634" i="3"/>
  <c r="G634" i="3"/>
  <c r="F114" i="3" l="1"/>
  <c r="G114" i="3"/>
  <c r="E114" i="3"/>
  <c r="E260" i="3" l="1"/>
  <c r="E259" i="3" s="1"/>
  <c r="F260" i="3"/>
  <c r="F259" i="3" s="1"/>
  <c r="G260" i="3"/>
  <c r="G259" i="3" s="1"/>
  <c r="E189" i="3" l="1"/>
  <c r="F648" i="3" l="1"/>
  <c r="F647" i="3" s="1"/>
  <c r="G648" i="3"/>
  <c r="G642" i="3"/>
  <c r="G641" i="3" s="1"/>
  <c r="G640" i="3" s="1"/>
  <c r="F623" i="3"/>
  <c r="G623" i="3"/>
  <c r="G622" i="3" s="1"/>
  <c r="G621" i="3" s="1"/>
  <c r="F628" i="3"/>
  <c r="G628" i="3"/>
  <c r="G627" i="3" s="1"/>
  <c r="F631" i="3"/>
  <c r="G631" i="3"/>
  <c r="F636" i="3"/>
  <c r="G636" i="3"/>
  <c r="F638" i="3"/>
  <c r="G638" i="3"/>
  <c r="E636" i="3"/>
  <c r="F601" i="3"/>
  <c r="G601" i="3"/>
  <c r="G600" i="3" s="1"/>
  <c r="G599" i="3" s="1"/>
  <c r="F606" i="3"/>
  <c r="G606" i="3"/>
  <c r="G605" i="3" s="1"/>
  <c r="G604" i="3" s="1"/>
  <c r="F610" i="3"/>
  <c r="G610" i="3"/>
  <c r="F613" i="3"/>
  <c r="G613" i="3"/>
  <c r="F616" i="3"/>
  <c r="G616" i="3"/>
  <c r="F541" i="3"/>
  <c r="G541" i="3"/>
  <c r="G540" i="3" s="1"/>
  <c r="G539" i="3" s="1"/>
  <c r="F547" i="3"/>
  <c r="G547" i="3"/>
  <c r="G546" i="3" s="1"/>
  <c r="G545" i="3" s="1"/>
  <c r="F557" i="3"/>
  <c r="G557" i="3"/>
  <c r="G556" i="3" s="1"/>
  <c r="G555" i="3" s="1"/>
  <c r="F562" i="3"/>
  <c r="G562" i="3"/>
  <c r="F566" i="3"/>
  <c r="G566" i="3"/>
  <c r="F569" i="3"/>
  <c r="G569" i="3"/>
  <c r="G568" i="3" s="1"/>
  <c r="E524" i="3"/>
  <c r="F515" i="3"/>
  <c r="G515" i="3"/>
  <c r="G514" i="3" s="1"/>
  <c r="G513" i="3" s="1"/>
  <c r="F524" i="3"/>
  <c r="G524" i="3"/>
  <c r="F528" i="3"/>
  <c r="G528" i="3"/>
  <c r="F493" i="3"/>
  <c r="F490" i="3" s="1"/>
  <c r="G493" i="3"/>
  <c r="G490" i="3" s="1"/>
  <c r="E493" i="3"/>
  <c r="E490" i="3" s="1"/>
  <c r="G470" i="3"/>
  <c r="G469" i="3" s="1"/>
  <c r="G468" i="3" s="1"/>
  <c r="F470" i="3"/>
  <c r="F481" i="3"/>
  <c r="F478" i="3" s="1"/>
  <c r="G481" i="3"/>
  <c r="G478" i="3" s="1"/>
  <c r="F486" i="3"/>
  <c r="F485" i="3" s="1"/>
  <c r="G486" i="3"/>
  <c r="G485" i="3" s="1"/>
  <c r="F497" i="3"/>
  <c r="G497" i="3"/>
  <c r="G496" i="3" s="1"/>
  <c r="F502" i="3"/>
  <c r="F501" i="3" s="1"/>
  <c r="G502" i="3"/>
  <c r="G501" i="3" s="1"/>
  <c r="F405" i="3"/>
  <c r="G405" i="3"/>
  <c r="F407" i="3"/>
  <c r="G407" i="3"/>
  <c r="F424" i="3"/>
  <c r="F421" i="3" s="1"/>
  <c r="G424" i="3"/>
  <c r="G421" i="3" s="1"/>
  <c r="F432" i="3"/>
  <c r="G432" i="3"/>
  <c r="F434" i="3"/>
  <c r="G434" i="3"/>
  <c r="F436" i="3"/>
  <c r="G436" i="3"/>
  <c r="F438" i="3"/>
  <c r="G438" i="3"/>
  <c r="F442" i="3"/>
  <c r="G442" i="3"/>
  <c r="F451" i="3"/>
  <c r="F446" i="3" s="1"/>
  <c r="G451" i="3"/>
  <c r="G446" i="3" s="1"/>
  <c r="G647" i="3" l="1"/>
  <c r="G646" i="3" s="1"/>
  <c r="G645" i="3" s="1"/>
  <c r="G477" i="3"/>
  <c r="G467" i="3" s="1"/>
  <c r="F431" i="3"/>
  <c r="F428" i="3" s="1"/>
  <c r="G431" i="3"/>
  <c r="G428" i="3" s="1"/>
  <c r="F568" i="3"/>
  <c r="F605" i="3"/>
  <c r="F514" i="3"/>
  <c r="F627" i="3"/>
  <c r="F546" i="3"/>
  <c r="F469" i="3"/>
  <c r="F600" i="3"/>
  <c r="F622" i="3"/>
  <c r="F621" i="3" s="1"/>
  <c r="F496" i="3"/>
  <c r="F556" i="3"/>
  <c r="G523" i="3"/>
  <c r="G522" i="3" s="1"/>
  <c r="G512" i="3" s="1"/>
  <c r="G511" i="3" s="1"/>
  <c r="G484" i="3"/>
  <c r="G483" i="3" s="1"/>
  <c r="F523" i="3"/>
  <c r="G609" i="3"/>
  <c r="G608" i="3" s="1"/>
  <c r="G603" i="3" s="1"/>
  <c r="F609" i="3"/>
  <c r="G561" i="3"/>
  <c r="G560" i="3" s="1"/>
  <c r="G554" i="3" s="1"/>
  <c r="G553" i="3" s="1"/>
  <c r="G630" i="3"/>
  <c r="G626" i="3" s="1"/>
  <c r="G625" i="3" s="1"/>
  <c r="F630" i="3"/>
  <c r="G620" i="3"/>
  <c r="F561" i="3"/>
  <c r="F540" i="3"/>
  <c r="F539" i="3" s="1"/>
  <c r="G489" i="3"/>
  <c r="G500" i="3"/>
  <c r="G460" i="3"/>
  <c r="G459" i="3" s="1"/>
  <c r="F460" i="3"/>
  <c r="G420" i="3"/>
  <c r="G404" i="3"/>
  <c r="G403" i="3" s="1"/>
  <c r="F404" i="3"/>
  <c r="F403" i="3" s="1"/>
  <c r="G538" i="3" l="1"/>
  <c r="G537" i="3" s="1"/>
  <c r="G536" i="3" s="1"/>
  <c r="F484" i="3"/>
  <c r="F468" i="3"/>
  <c r="F642" i="3"/>
  <c r="F513" i="3"/>
  <c r="F604" i="3"/>
  <c r="F500" i="3"/>
  <c r="F560" i="3"/>
  <c r="F608" i="3"/>
  <c r="F420" i="3"/>
  <c r="F620" i="3"/>
  <c r="F555" i="3"/>
  <c r="F489" i="3"/>
  <c r="F477" i="3"/>
  <c r="F599" i="3"/>
  <c r="F545" i="3"/>
  <c r="F646" i="3"/>
  <c r="F459" i="3"/>
  <c r="F522" i="3"/>
  <c r="G466" i="3"/>
  <c r="G499" i="3"/>
  <c r="G488" i="3" s="1"/>
  <c r="F626" i="3"/>
  <c r="G619" i="3"/>
  <c r="G598" i="3"/>
  <c r="G427" i="3"/>
  <c r="G426" i="3" s="1"/>
  <c r="G402" i="3"/>
  <c r="G401" i="3" s="1"/>
  <c r="F538" i="3" l="1"/>
  <c r="F537" i="3" s="1"/>
  <c r="F467" i="3"/>
  <c r="F512" i="3"/>
  <c r="F625" i="3"/>
  <c r="F645" i="3"/>
  <c r="F554" i="3"/>
  <c r="F553" i="3" s="1"/>
  <c r="F641" i="3"/>
  <c r="F640" i="3" s="1"/>
  <c r="F483" i="3"/>
  <c r="F427" i="3"/>
  <c r="F426" i="3" s="1"/>
  <c r="F402" i="3"/>
  <c r="F401" i="3" s="1"/>
  <c r="F499" i="3"/>
  <c r="F488" i="3" s="1"/>
  <c r="F603" i="3"/>
  <c r="G400" i="3"/>
  <c r="F619" i="3" l="1"/>
  <c r="F511" i="3"/>
  <c r="F466" i="3"/>
  <c r="F598" i="3"/>
  <c r="E606" i="3"/>
  <c r="E648" i="3"/>
  <c r="E647" i="3" s="1"/>
  <c r="E605" i="3" l="1"/>
  <c r="F400" i="3"/>
  <c r="F536" i="3"/>
  <c r="E642" i="3" l="1"/>
  <c r="E646" i="3"/>
  <c r="E604" i="3"/>
  <c r="E645" i="3" l="1"/>
  <c r="E641" i="3"/>
  <c r="E640" i="3" s="1"/>
  <c r="E638" i="3" l="1"/>
  <c r="E631" i="3"/>
  <c r="E630" i="3" l="1"/>
  <c r="E628" i="3"/>
  <c r="E627" i="3" l="1"/>
  <c r="E626" i="3" l="1"/>
  <c r="E623" i="3"/>
  <c r="E625" i="3" l="1"/>
  <c r="E622" i="3"/>
  <c r="E616" i="3"/>
  <c r="E613" i="3"/>
  <c r="E610" i="3"/>
  <c r="E601" i="3"/>
  <c r="E600" i="3" l="1"/>
  <c r="E621" i="3"/>
  <c r="E609" i="3"/>
  <c r="G592" i="3"/>
  <c r="F592" i="3"/>
  <c r="E608" i="3" l="1"/>
  <c r="E620" i="3"/>
  <c r="E599" i="3"/>
  <c r="E592" i="3"/>
  <c r="F591" i="3"/>
  <c r="G587" i="3"/>
  <c r="F587" i="3"/>
  <c r="E587" i="3"/>
  <c r="G585" i="3"/>
  <c r="F585" i="3"/>
  <c r="E585" i="3"/>
  <c r="G583" i="3"/>
  <c r="F583" i="3"/>
  <c r="E583" i="3"/>
  <c r="G581" i="3"/>
  <c r="F581" i="3"/>
  <c r="E581" i="3"/>
  <c r="G579" i="3"/>
  <c r="F579" i="3"/>
  <c r="E579" i="3"/>
  <c r="E578" i="3" l="1"/>
  <c r="G578" i="3"/>
  <c r="F578" i="3"/>
  <c r="E619" i="3"/>
  <c r="G591" i="3"/>
  <c r="E603" i="3"/>
  <c r="E591" i="3"/>
  <c r="E598" i="3" l="1"/>
  <c r="G590" i="3"/>
  <c r="F590" i="3"/>
  <c r="F589" i="3" s="1"/>
  <c r="G575" i="3"/>
  <c r="G574" i="3" s="1"/>
  <c r="F575" i="3"/>
  <c r="E575" i="3"/>
  <c r="E569" i="3"/>
  <c r="E566" i="3"/>
  <c r="E562" i="3"/>
  <c r="E556" i="3"/>
  <c r="E547" i="3"/>
  <c r="G589" i="3" l="1"/>
  <c r="G577" i="3" s="1"/>
  <c r="E555" i="3"/>
  <c r="E574" i="3"/>
  <c r="E573" i="3" s="1"/>
  <c r="E546" i="3"/>
  <c r="E568" i="3"/>
  <c r="E540" i="3"/>
  <c r="E539" i="3" s="1"/>
  <c r="F574" i="3"/>
  <c r="E561" i="3"/>
  <c r="G573" i="3"/>
  <c r="E590" i="3"/>
  <c r="E589" i="3" s="1"/>
  <c r="E577" i="3" s="1"/>
  <c r="E515" i="3"/>
  <c r="E502" i="3"/>
  <c r="E501" i="3" s="1"/>
  <c r="F577" i="3" l="1"/>
  <c r="E560" i="3"/>
  <c r="E545" i="3"/>
  <c r="E538" i="3" s="1"/>
  <c r="E514" i="3"/>
  <c r="F573" i="3"/>
  <c r="G572" i="3"/>
  <c r="E497" i="3"/>
  <c r="E496" i="3" s="1"/>
  <c r="E489" i="3" s="1"/>
  <c r="E486" i="3"/>
  <c r="E485" i="3" s="1"/>
  <c r="E481" i="3"/>
  <c r="E478" i="3" s="1"/>
  <c r="E470" i="3"/>
  <c r="E451" i="3"/>
  <c r="E446" i="3" s="1"/>
  <c r="E442" i="3"/>
  <c r="E438" i="3"/>
  <c r="E436" i="3"/>
  <c r="E434" i="3"/>
  <c r="E432" i="3"/>
  <c r="E424" i="3"/>
  <c r="E421" i="3" s="1"/>
  <c r="E420" i="3" s="1"/>
  <c r="E407" i="3"/>
  <c r="E405" i="3"/>
  <c r="E404" i="3" l="1"/>
  <c r="E403" i="3" s="1"/>
  <c r="E431" i="3"/>
  <c r="E428" i="3" s="1"/>
  <c r="F572" i="3"/>
  <c r="E537" i="3"/>
  <c r="E523" i="3"/>
  <c r="E554" i="3"/>
  <c r="E553" i="3" s="1"/>
  <c r="E513" i="3"/>
  <c r="E469" i="3"/>
  <c r="E460" i="3"/>
  <c r="G396" i="3"/>
  <c r="F396" i="3"/>
  <c r="E396" i="3"/>
  <c r="G390" i="3"/>
  <c r="F390" i="3"/>
  <c r="E390" i="3"/>
  <c r="G379" i="3"/>
  <c r="G374" i="3" s="1"/>
  <c r="G373" i="3" s="1"/>
  <c r="F379" i="3"/>
  <c r="F374" i="3" s="1"/>
  <c r="F373" i="3" s="1"/>
  <c r="E379" i="3"/>
  <c r="E374" i="3" s="1"/>
  <c r="E373" i="3" s="1"/>
  <c r="G355" i="3"/>
  <c r="F355" i="3"/>
  <c r="E355" i="3"/>
  <c r="G351" i="3"/>
  <c r="F351" i="3"/>
  <c r="E351" i="3"/>
  <c r="G347" i="3"/>
  <c r="F347" i="3"/>
  <c r="E347" i="3"/>
  <c r="G345" i="3"/>
  <c r="F345" i="3"/>
  <c r="E345" i="3"/>
  <c r="G343" i="3"/>
  <c r="F343" i="3"/>
  <c r="E343" i="3"/>
  <c r="G339" i="3"/>
  <c r="F339" i="3"/>
  <c r="E339" i="3"/>
  <c r="G322" i="3"/>
  <c r="G321" i="3" s="1"/>
  <c r="G295" i="3" s="1"/>
  <c r="F322" i="3"/>
  <c r="F321" i="3" s="1"/>
  <c r="F295" i="3" s="1"/>
  <c r="E322" i="3"/>
  <c r="F338" i="3" l="1"/>
  <c r="E338" i="3"/>
  <c r="E337" i="3" s="1"/>
  <c r="E336" i="3" s="1"/>
  <c r="G338" i="3"/>
  <c r="E321" i="3"/>
  <c r="E295" i="3" s="1"/>
  <c r="E402" i="3"/>
  <c r="E477" i="3"/>
  <c r="E389" i="3"/>
  <c r="E459" i="3"/>
  <c r="E468" i="3"/>
  <c r="E572" i="3"/>
  <c r="E500" i="3"/>
  <c r="E395" i="3"/>
  <c r="E484" i="3"/>
  <c r="E522" i="3"/>
  <c r="G389" i="3"/>
  <c r="F389" i="3" s="1"/>
  <c r="G395" i="3"/>
  <c r="F395" i="3" s="1"/>
  <c r="G291" i="3"/>
  <c r="F291" i="3"/>
  <c r="E291" i="3"/>
  <c r="G286" i="3"/>
  <c r="F286" i="3"/>
  <c r="E286" i="3"/>
  <c r="G284" i="3"/>
  <c r="F284" i="3"/>
  <c r="E284" i="3"/>
  <c r="G280" i="3"/>
  <c r="F280" i="3"/>
  <c r="E280" i="3"/>
  <c r="G278" i="3"/>
  <c r="F278" i="3"/>
  <c r="E278" i="3"/>
  <c r="G273" i="3"/>
  <c r="F273" i="3"/>
  <c r="E273" i="3"/>
  <c r="G268" i="3"/>
  <c r="G267" i="3" s="1"/>
  <c r="F268" i="3"/>
  <c r="E268" i="3"/>
  <c r="G255" i="3"/>
  <c r="G254" i="3" s="1"/>
  <c r="F255" i="3"/>
  <c r="F254" i="3" s="1"/>
  <c r="E255" i="3"/>
  <c r="G337" i="3" l="1"/>
  <c r="G336" i="3" s="1"/>
  <c r="F337" i="3"/>
  <c r="F336" i="3" s="1"/>
  <c r="E254" i="3"/>
  <c r="E401" i="3"/>
  <c r="E365" i="3"/>
  <c r="E394" i="3"/>
  <c r="E467" i="3"/>
  <c r="E267" i="3"/>
  <c r="E512" i="3"/>
  <c r="E483" i="3"/>
  <c r="E499" i="3"/>
  <c r="E488" i="3" s="1"/>
  <c r="E388" i="3"/>
  <c r="E427" i="3"/>
  <c r="E426" i="3" s="1"/>
  <c r="E536" i="3"/>
  <c r="E283" i="3"/>
  <c r="E277" i="3"/>
  <c r="F277" i="3"/>
  <c r="F283" i="3"/>
  <c r="G283" i="3"/>
  <c r="G282" i="3" s="1"/>
  <c r="G277" i="3"/>
  <c r="G365" i="3"/>
  <c r="F365" i="3" s="1"/>
  <c r="G290" i="3"/>
  <c r="G266" i="3"/>
  <c r="F290" i="3"/>
  <c r="F267" i="3"/>
  <c r="E290" i="3"/>
  <c r="G388" i="3"/>
  <c r="G394" i="3"/>
  <c r="F394" i="3" s="1"/>
  <c r="G248" i="3"/>
  <c r="F248" i="3"/>
  <c r="E248" i="3"/>
  <c r="G246" i="3"/>
  <c r="G245" i="3" s="1"/>
  <c r="F246" i="3"/>
  <c r="E246" i="3"/>
  <c r="G243" i="3"/>
  <c r="G242" i="3" s="1"/>
  <c r="F243" i="3"/>
  <c r="F242" i="3" s="1"/>
  <c r="E243" i="3"/>
  <c r="G239" i="3"/>
  <c r="F239" i="3"/>
  <c r="E239" i="3"/>
  <c r="G236" i="3"/>
  <c r="F236" i="3"/>
  <c r="E236" i="3"/>
  <c r="G234" i="3"/>
  <c r="F234" i="3"/>
  <c r="E234" i="3"/>
  <c r="G232" i="3"/>
  <c r="F232" i="3"/>
  <c r="E232" i="3"/>
  <c r="G230" i="3"/>
  <c r="F230" i="3"/>
  <c r="E230" i="3"/>
  <c r="G228" i="3"/>
  <c r="F228" i="3"/>
  <c r="E228" i="3"/>
  <c r="G224" i="3"/>
  <c r="G223" i="3" s="1"/>
  <c r="F224" i="3"/>
  <c r="F223" i="3" s="1"/>
  <c r="E224" i="3"/>
  <c r="G211" i="3"/>
  <c r="F211" i="3"/>
  <c r="E211" i="3"/>
  <c r="G197" i="3"/>
  <c r="F197" i="3"/>
  <c r="E197" i="3"/>
  <c r="G193" i="3"/>
  <c r="F193" i="3"/>
  <c r="E193" i="3"/>
  <c r="G187" i="3"/>
  <c r="F187" i="3"/>
  <c r="E187" i="3"/>
  <c r="G185" i="3"/>
  <c r="F185" i="3"/>
  <c r="E185" i="3"/>
  <c r="G177" i="3"/>
  <c r="F177" i="3"/>
  <c r="F203" i="3"/>
  <c r="F245" i="3" l="1"/>
  <c r="F174" i="3"/>
  <c r="F169" i="3" s="1"/>
  <c r="E245" i="3"/>
  <c r="G174" i="3"/>
  <c r="G169" i="3" s="1"/>
  <c r="E242" i="3"/>
  <c r="E364" i="3"/>
  <c r="E223" i="3"/>
  <c r="E266" i="3"/>
  <c r="E257" i="3" s="1"/>
  <c r="E466" i="3"/>
  <c r="E332" i="3"/>
  <c r="E282" i="3"/>
  <c r="E271" i="3"/>
  <c r="E294" i="3"/>
  <c r="E511" i="3"/>
  <c r="E177" i="3"/>
  <c r="E174" i="3" s="1"/>
  <c r="E169" i="3" s="1"/>
  <c r="E387" i="3"/>
  <c r="E381" i="3" s="1"/>
  <c r="G294" i="3"/>
  <c r="G238" i="3"/>
  <c r="F238" i="3" s="1"/>
  <c r="G364" i="3"/>
  <c r="G227" i="3"/>
  <c r="F282" i="3"/>
  <c r="E238" i="3"/>
  <c r="E227" i="3"/>
  <c r="F227" i="3"/>
  <c r="G241" i="3"/>
  <c r="G257" i="3"/>
  <c r="F388" i="3"/>
  <c r="G387" i="3"/>
  <c r="G381" i="3" s="1"/>
  <c r="F271" i="3"/>
  <c r="G271" i="3"/>
  <c r="G270" i="3" s="1"/>
  <c r="F266" i="3"/>
  <c r="G289" i="3"/>
  <c r="F289" i="3" s="1"/>
  <c r="E289" i="3"/>
  <c r="G222" i="3"/>
  <c r="E241" i="3" l="1"/>
  <c r="F364" i="3"/>
  <c r="F332" i="3" s="1"/>
  <c r="G332" i="3"/>
  <c r="F241" i="3"/>
  <c r="E222" i="3"/>
  <c r="E270" i="3"/>
  <c r="E400" i="3"/>
  <c r="F294" i="3"/>
  <c r="F222" i="3"/>
  <c r="G226" i="3"/>
  <c r="G221" i="3" s="1"/>
  <c r="F226" i="3"/>
  <c r="E226" i="3"/>
  <c r="E288" i="3"/>
  <c r="F270" i="3"/>
  <c r="G253" i="3"/>
  <c r="F387" i="3"/>
  <c r="F381" i="3" s="1"/>
  <c r="F257" i="3"/>
  <c r="G288" i="3"/>
  <c r="G165" i="3"/>
  <c r="F165" i="3"/>
  <c r="E165" i="3"/>
  <c r="G163" i="3"/>
  <c r="F163" i="3"/>
  <c r="E163" i="3"/>
  <c r="G161" i="3"/>
  <c r="F161" i="3"/>
  <c r="E161" i="3"/>
  <c r="G159" i="3"/>
  <c r="F159" i="3"/>
  <c r="E159" i="3"/>
  <c r="G151" i="3"/>
  <c r="F151" i="3"/>
  <c r="E151" i="3"/>
  <c r="G149" i="3"/>
  <c r="F149" i="3"/>
  <c r="E149" i="3"/>
  <c r="G143" i="3"/>
  <c r="F143" i="3"/>
  <c r="E143" i="3"/>
  <c r="G139" i="3"/>
  <c r="F139" i="3"/>
  <c r="E139" i="3"/>
  <c r="G130" i="3"/>
  <c r="F130" i="3"/>
  <c r="E130" i="3"/>
  <c r="G125" i="3"/>
  <c r="F125" i="3"/>
  <c r="E125" i="3"/>
  <c r="G118" i="3"/>
  <c r="F118" i="3"/>
  <c r="E118" i="3"/>
  <c r="G112" i="3"/>
  <c r="G109" i="3" s="1"/>
  <c r="F112" i="3"/>
  <c r="E112" i="3"/>
  <c r="E109" i="3" s="1"/>
  <c r="G100" i="3"/>
  <c r="F100" i="3"/>
  <c r="E100" i="3"/>
  <c r="F138" i="3" l="1"/>
  <c r="G138" i="3"/>
  <c r="G137" i="3" s="1"/>
  <c r="E138" i="3"/>
  <c r="G148" i="3"/>
  <c r="G147" i="3" s="1"/>
  <c r="E158" i="3"/>
  <c r="G158" i="3"/>
  <c r="F158" i="3"/>
  <c r="E148" i="3"/>
  <c r="F148" i="3"/>
  <c r="F288" i="3"/>
  <c r="E253" i="3"/>
  <c r="E221" i="3"/>
  <c r="E99" i="3"/>
  <c r="F109" i="3"/>
  <c r="F117" i="3"/>
  <c r="G117" i="3"/>
  <c r="G116" i="3" s="1"/>
  <c r="E117" i="3"/>
  <c r="F253" i="3"/>
  <c r="F221" i="3"/>
  <c r="G129" i="3"/>
  <c r="F129" i="3" s="1"/>
  <c r="G252" i="3"/>
  <c r="G124" i="3"/>
  <c r="G168" i="3"/>
  <c r="G167" i="3" s="1"/>
  <c r="E168" i="3"/>
  <c r="G220" i="3"/>
  <c r="G258" i="3"/>
  <c r="F258" i="3" s="1"/>
  <c r="E258" i="3"/>
  <c r="F124" i="3"/>
  <c r="E129" i="3"/>
  <c r="E124" i="3"/>
  <c r="G108" i="3"/>
  <c r="G99" i="3"/>
  <c r="F99" i="3"/>
  <c r="G95" i="3"/>
  <c r="F95" i="3"/>
  <c r="E95" i="3"/>
  <c r="G88" i="3"/>
  <c r="G87" i="3" s="1"/>
  <c r="F88" i="3"/>
  <c r="E88" i="3"/>
  <c r="E83" i="3"/>
  <c r="G70" i="3"/>
  <c r="F70" i="3"/>
  <c r="E70" i="3"/>
  <c r="G66" i="3"/>
  <c r="F66" i="3"/>
  <c r="E66" i="3"/>
  <c r="F252" i="3" l="1"/>
  <c r="E220" i="3"/>
  <c r="E167" i="3"/>
  <c r="E65" i="3"/>
  <c r="E98" i="3"/>
  <c r="E252" i="3"/>
  <c r="E87" i="3"/>
  <c r="E116" i="3"/>
  <c r="E108" i="3"/>
  <c r="E147" i="3"/>
  <c r="F220" i="3"/>
  <c r="F168" i="3"/>
  <c r="F167" i="3" s="1"/>
  <c r="F137" i="3"/>
  <c r="F147" i="3"/>
  <c r="F116" i="3"/>
  <c r="G157" i="3"/>
  <c r="F87" i="3"/>
  <c r="G86" i="3"/>
  <c r="F108" i="3"/>
  <c r="G123" i="3"/>
  <c r="F123" i="3" s="1"/>
  <c r="E123" i="3"/>
  <c r="G94" i="3"/>
  <c r="F94" i="3" s="1"/>
  <c r="G98" i="3"/>
  <c r="F98" i="3" s="1"/>
  <c r="G83" i="3"/>
  <c r="F83" i="3" s="1"/>
  <c r="F65" i="3" s="1"/>
  <c r="E94" i="3"/>
  <c r="G128" i="3"/>
  <c r="F128" i="3" s="1"/>
  <c r="E128" i="3"/>
  <c r="G136" i="3"/>
  <c r="G146" i="3"/>
  <c r="G62" i="3"/>
  <c r="F62" i="3"/>
  <c r="E62" i="3"/>
  <c r="G41" i="3"/>
  <c r="F41" i="3"/>
  <c r="E41" i="3"/>
  <c r="G38" i="3"/>
  <c r="F38" i="3"/>
  <c r="E38" i="3"/>
  <c r="G35" i="3"/>
  <c r="E86" i="3" l="1"/>
  <c r="G65" i="3"/>
  <c r="F157" i="3"/>
  <c r="F156" i="3" s="1"/>
  <c r="G156" i="3"/>
  <c r="G155" i="3" s="1"/>
  <c r="E146" i="3"/>
  <c r="E56" i="3"/>
  <c r="E157" i="3"/>
  <c r="E137" i="3"/>
  <c r="E107" i="3"/>
  <c r="F136" i="3"/>
  <c r="F146" i="3"/>
  <c r="E51" i="3"/>
  <c r="F86" i="3"/>
  <c r="F51" i="3"/>
  <c r="G51" i="3"/>
  <c r="G50" i="3" s="1"/>
  <c r="G93" i="3"/>
  <c r="F93" i="3" s="1"/>
  <c r="E93" i="3"/>
  <c r="G145" i="3"/>
  <c r="G97" i="3"/>
  <c r="F97" i="3" s="1"/>
  <c r="E97" i="3"/>
  <c r="G61" i="3"/>
  <c r="F61" i="3" s="1"/>
  <c r="G107" i="3"/>
  <c r="G106" i="3" s="1"/>
  <c r="G85" i="3"/>
  <c r="E85" i="3"/>
  <c r="G135" i="3"/>
  <c r="F35" i="3"/>
  <c r="E35" i="3"/>
  <c r="G30" i="3"/>
  <c r="F30" i="3"/>
  <c r="E30" i="3"/>
  <c r="G26" i="3"/>
  <c r="F26" i="3"/>
  <c r="E26" i="3"/>
  <c r="G22" i="3"/>
  <c r="F22" i="3"/>
  <c r="E22" i="3"/>
  <c r="G20" i="3"/>
  <c r="F20" i="3"/>
  <c r="E20" i="3"/>
  <c r="G18" i="3"/>
  <c r="F18" i="3"/>
  <c r="E18" i="3"/>
  <c r="G16" i="3"/>
  <c r="F16" i="3"/>
  <c r="E16" i="3"/>
  <c r="E156" i="3" l="1"/>
  <c r="E155" i="3" s="1"/>
  <c r="E106" i="3"/>
  <c r="E145" i="3"/>
  <c r="F107" i="3"/>
  <c r="G105" i="3"/>
  <c r="E50" i="3"/>
  <c r="G34" i="3"/>
  <c r="G29" i="3" s="1"/>
  <c r="F155" i="3"/>
  <c r="E136" i="3"/>
  <c r="E61" i="3"/>
  <c r="E55" i="3"/>
  <c r="F135" i="3"/>
  <c r="F145" i="3"/>
  <c r="F85" i="3"/>
  <c r="F50" i="3"/>
  <c r="G15" i="3"/>
  <c r="G49" i="3"/>
  <c r="G134" i="3"/>
  <c r="F34" i="3"/>
  <c r="G92" i="3"/>
  <c r="F92" i="3" s="1"/>
  <c r="E92" i="3"/>
  <c r="G60" i="3"/>
  <c r="F60" i="3" s="1"/>
  <c r="F15" i="3"/>
  <c r="E15" i="3"/>
  <c r="G12" i="3"/>
  <c r="F12" i="3"/>
  <c r="E12" i="3"/>
  <c r="E60" i="3" l="1"/>
  <c r="E64" i="3"/>
  <c r="F106" i="3"/>
  <c r="F105" i="3" s="1"/>
  <c r="F64" i="3"/>
  <c r="G64" i="3"/>
  <c r="E49" i="3"/>
  <c r="E34" i="3"/>
  <c r="E135" i="3"/>
  <c r="F134" i="3"/>
  <c r="F49" i="3"/>
  <c r="G14" i="3"/>
  <c r="F14" i="3"/>
  <c r="G11" i="3"/>
  <c r="F11" i="3" s="1"/>
  <c r="G28" i="3"/>
  <c r="E105" i="3"/>
  <c r="E11" i="3"/>
  <c r="E14" i="3"/>
  <c r="F29" i="3"/>
  <c r="E29" i="3" l="1"/>
  <c r="F28" i="3"/>
  <c r="E134" i="3"/>
  <c r="G10" i="3"/>
  <c r="G9" i="3" s="1"/>
  <c r="G655" i="3" s="1"/>
  <c r="E10" i="3"/>
  <c r="E28" i="3" l="1"/>
  <c r="F10" i="3"/>
  <c r="E9" i="3" l="1"/>
  <c r="F9" i="3"/>
  <c r="F655" i="3" s="1"/>
  <c r="E655" i="3" l="1"/>
</calcChain>
</file>

<file path=xl/sharedStrings.xml><?xml version="1.0" encoding="utf-8"?>
<sst xmlns="http://schemas.openxmlformats.org/spreadsheetml/2006/main" count="1919" uniqueCount="632">
  <si>
    <t>к решению Благовещенской</t>
  </si>
  <si>
    <t>городской Думы</t>
  </si>
  <si>
    <t>Наименование</t>
  </si>
  <si>
    <t>РПР</t>
  </si>
  <si>
    <t>ЦСР</t>
  </si>
  <si>
    <t>ВР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</si>
  <si>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</si>
  <si>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</si>
  <si>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</si>
  <si>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</si>
  <si>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</t>
  </si>
  <si>
    <t>00 0 00 00000</t>
  </si>
  <si>
    <t>Председатель представительного органа муниципального образования</t>
  </si>
  <si>
    <t>00 0 00 00020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</si>
  <si>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</si>
  <si>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Заместитель председателя представительного органа муниципального образования</t>
  </si>
  <si>
    <t>00 0 00 00030</t>
  </si>
  <si>
    <t>Депутаты  представительного органа муниципального образования</t>
  </si>
  <si>
    <t>00 0 00 00040</t>
  </si>
  <si>
    <t>Обеспечение деятельности Благовещенской городской Думы</t>
  </si>
  <si>
    <t>00 0 00 00050</t>
  </si>
  <si>
    <t>Закупка товаров, работ и услуг для обеспечения государственных(муниципальных) нужд</t>
  </si>
  <si>
    <t>Иные бюджетные ассигнования</t>
  </si>
  <si>
    <t>Компенсация расходов, связанных с депутатской деятельностью</t>
  </si>
  <si>
    <t>00 0 00 00060</t>
  </si>
  <si>
    <t>Другие общегосударственные вопросы</t>
  </si>
  <si>
    <t>0113</t>
  </si>
  <si>
    <t>Финансовое обеспечение поощрений за заслуги перед муниципальным образованием городом Благовещенском</t>
  </si>
  <si>
    <t>00 0 00 80110</t>
  </si>
  <si>
    <t>Социальное обеспечение и иные выплаты населению</t>
  </si>
  <si>
    <t>Социальная политика</t>
  </si>
  <si>
    <t>1000</t>
  </si>
  <si>
    <t>Социальное обеспечение населения</t>
  </si>
  <si>
    <t>1003</t>
  </si>
  <si>
    <t xml:space="preserve">Единовременная денежная выплата лицам, награжденным медалью «За заслуги перед городом Благовещенском» </t>
  </si>
  <si>
    <t>00 0 00 80100</t>
  </si>
  <si>
    <t>Функционирование  высшего должностного лица  субъекта  Российской Федерации и муниципального образования</t>
  </si>
  <si>
    <t>0102</t>
  </si>
  <si>
    <t>Глава муниципального образования</t>
  </si>
  <si>
    <t>00 0 00 00010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</si>
  <si>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</si>
  <si>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0104</t>
  </si>
  <si>
    <t>Расходы на обеспечение функций исполнительно-распорядительного, контрольного органов муниципального образования</t>
  </si>
  <si>
    <t>00 0 00 00070</t>
  </si>
  <si>
    <t>Расходы на выполнение государственных полномочий</t>
  </si>
  <si>
    <t>00 1 00 00000</t>
  </si>
  <si>
    <t>00 1 00 87360</t>
  </si>
  <si>
    <t>100</t>
  </si>
  <si>
    <t>200</t>
  </si>
  <si>
    <t>00 1 00 88430</t>
  </si>
  <si>
    <t>00 1 00 87290</t>
  </si>
  <si>
    <t>Расходы на обеспечение деятельности (оказания услуг, выполнение работ) муниципальных организаций  (учреждений)</t>
  </si>
  <si>
    <t>00 0 00 10590</t>
  </si>
  <si>
    <t>Расходы  на оплату исполнительных документов</t>
  </si>
  <si>
    <t>00 0 00 70020</t>
  </si>
  <si>
    <t>Расходы на исполнение судебных решений</t>
  </si>
  <si>
    <t>00 0 00 70021</t>
  </si>
  <si>
    <t>Расходы на обеспечение деятельности (оказание услуг, выполнение работ) муниципальных организаций (учреждений)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</si>
  <si>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</si>
  <si>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</si>
  <si>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0200</t>
  </si>
  <si>
    <t>Мобилизационная подготовка экономики</t>
  </si>
  <si>
    <t>0204</t>
  </si>
  <si>
    <t>Техническая зашита информации</t>
  </si>
  <si>
    <t>00 0 00 00080</t>
  </si>
  <si>
    <t>Мобилизационная подготовка</t>
  </si>
  <si>
    <t>00 0 00 00090</t>
  </si>
  <si>
    <t>Национальная экономика</t>
  </si>
  <si>
    <t>0400</t>
  </si>
  <si>
    <t>Водное хозяйство</t>
  </si>
  <si>
    <t>0406</t>
  </si>
  <si>
    <t>08 0 00 00000</t>
  </si>
  <si>
    <t>Подпрограмма "Охрана окружающей среды и обеспечение экологической безопасности населения города Благовещенска"</t>
  </si>
  <si>
    <t>08 4 00 00000</t>
  </si>
  <si>
    <t>Основное мероприятие "Выполнение санитарно-эпидемиологических требований и обеспечение экологической безопасности"</t>
  </si>
  <si>
    <t>08 4 01 00000</t>
  </si>
  <si>
    <t>Берегоукрепление и реконструкция набережной р. Амур, г. Благовещенск (в т.ч. проектные работы)</t>
  </si>
  <si>
    <t>08 4 01 40020</t>
  </si>
  <si>
    <t>Капитальные вложения в объекты недвижимого имущества государственной (муниципальной) собственности</t>
  </si>
  <si>
    <t>Транспорт</t>
  </si>
  <si>
    <t>0408</t>
  </si>
  <si>
    <t>02 0 00 00000</t>
  </si>
  <si>
    <t>Подпрограмма "Развитие пассажирского транспорта в городе Благовещенске"</t>
  </si>
  <si>
    <t>02 2 00 00000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</si>
  <si>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</si>
  <si>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02 2 01 00000</t>
  </si>
  <si>
    <t>02 2 01 10590</t>
  </si>
  <si>
    <t>Субсидии транспортным предприятиям на компенсацию  выпадающих доходов по тарифам, не обеспечивающим экономически обоснованные  затраты</t>
  </si>
  <si>
    <t>02 2 01 60020</t>
  </si>
  <si>
    <t>02 2 01 60030</t>
  </si>
  <si>
    <t>Субсидии перевозчикам на возмещение недополученных доходов в связи с осуществлением перевозок отдельных категорий граждан по льготным проездным билетам в автобусах муниципальных автомобильных маршрутов регулярных перевозок, следующих к местам расположения садовых участков</t>
  </si>
  <si>
    <t>02 2 01 60040</t>
  </si>
  <si>
    <t>Дорожное хозяйство (дорожные фонды)</t>
  </si>
  <si>
    <t>0409</t>
  </si>
  <si>
    <t>Подпрограмма "Осуществление дорожной деятельности в отношении автомобильных дорог общего пользования местного значения"</t>
  </si>
  <si>
    <t>02 1 00 00000</t>
  </si>
  <si>
    <t>Основное мероприятие "Развитие улично-дорожной сети города Благовещенска"</t>
  </si>
  <si>
    <t>02 1 01 00000</t>
  </si>
  <si>
    <t>03 0 00 00000</t>
  </si>
  <si>
    <t>Подпрограмма "Благоустройство территории города Благовещенска"</t>
  </si>
  <si>
    <t>03 4 00 00000</t>
  </si>
  <si>
    <t>Основное мероприятие "Организация работ по повышению благоустроенности территории города Благовещенска"</t>
  </si>
  <si>
    <t>03 4 01 00000</t>
  </si>
  <si>
    <t>Другие вопросы в области национальной экономики</t>
  </si>
  <si>
    <t>0412</t>
  </si>
  <si>
    <t>11 0 00 00000</t>
  </si>
  <si>
    <t>Основное мероприятие "Обеспечение мероприятий по землеустройству и землепользованию"</t>
  </si>
  <si>
    <t>11 0 01 00000</t>
  </si>
  <si>
    <t>Организация выполнения кадастровых работ и государственного кадастрового учета в отношении земельных участков для муниципальных нужд</t>
  </si>
  <si>
    <t>11 0 01 10240</t>
  </si>
  <si>
    <t>Основное мероприятие "Обеспечение мероприятий по градостроительной деятельности"</t>
  </si>
  <si>
    <t>11 0 02 00000</t>
  </si>
  <si>
    <t>Обеспечение мероприятий по ведению информационной системы обеспечения градостроительной деятельности, осуществляемой на территории города Благовещенска</t>
  </si>
  <si>
    <t>11 0 02 10300</t>
  </si>
  <si>
    <t>Организация деятельности, направленной на подготовку внесения изменений в правила землепользования и застройки, подготовку нормативов градостроительного проектирования и документации по планировке территории</t>
  </si>
  <si>
    <t>11 0 02 10500</t>
  </si>
  <si>
    <t>09 0 00 00000</t>
  </si>
  <si>
    <t>Подпрограмма "Развитие туризма в городе Благовещенске"</t>
  </si>
  <si>
    <t>09 1 00 00000</t>
  </si>
  <si>
    <t>Основное мероприятие "Развитие обеспечивающей инфраструктуры муниципальной собственности к туристским объектам"</t>
  </si>
  <si>
    <t>09 1 01 00000</t>
  </si>
  <si>
    <t>Подпрограмма "Развитие малого и среднего предпринимательства в городе Благовещенске"</t>
  </si>
  <si>
    <t>09 2 00 00000</t>
  </si>
  <si>
    <t>Основное мероприятие "Поддержка субъектов малого и среднего предпринимательства"</t>
  </si>
  <si>
    <t>09 2 01 00000</t>
  </si>
  <si>
    <t>Организационная, информационная, консультационная поддержка, поддержка в области повышения инвестиционной активности в сфере малого и среднего предпринимательства</t>
  </si>
  <si>
    <t>09 2 01 10320</t>
  </si>
  <si>
    <t>Гранты в форме субсидии начинающим субъектам малого предпринимательства</t>
  </si>
  <si>
    <t>09 2 01 80040</t>
  </si>
  <si>
    <t>Гранты в форме субсидии для субсидирования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</t>
  </si>
  <si>
    <t>09 2 01 80050</t>
  </si>
  <si>
    <t>Гранты в форме субсидии для субсидирования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развития, либо модернизации производства товаров (работ, услуг)</t>
  </si>
  <si>
    <t>09 2 01 80160</t>
  </si>
  <si>
    <t>Гранты в форме субсидии для субсидирования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</si>
  <si>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09 2 01 80170</t>
  </si>
  <si>
    <t>Основное мероприятие "Развитие инфраструктуры поддержки малого и среднего предпринимательства"</t>
  </si>
  <si>
    <t>09 2 02 00000</t>
  </si>
  <si>
    <t>Субсидии некоммерческим организациям, оказывающим поддержку субъектам малого и среднего предпринимательства</t>
  </si>
  <si>
    <t>09 2 02 10310</t>
  </si>
  <si>
    <t xml:space="preserve">Жилищно-коммунальное хозяйство </t>
  </si>
  <si>
    <t>0500</t>
  </si>
  <si>
    <t xml:space="preserve">Жилищное  хозяйство </t>
  </si>
  <si>
    <t>0501</t>
  </si>
  <si>
    <t>Подпрограмма "Повышение качества и надежности жилищно-коммунального обслуживания населения, обеспечение доступности коммунальных услуг"</t>
  </si>
  <si>
    <t>03 1 00 00000</t>
  </si>
  <si>
    <t>Основное мероприятие "Реализация мероприятий по обеспечению благоприятных и безопасных условий проживания граждан в многоквартирных домах"</t>
  </si>
  <si>
    <t>03 1 03 00000</t>
  </si>
  <si>
    <t>Текущий и капитальный ремонт выгребных ям, строительство и ремонт дворовых уборных и подъездных путей к ним в неблагоустроенном жилищном фонде</t>
  </si>
  <si>
    <t>03 1 03 60130</t>
  </si>
  <si>
    <t>Подпрограмма "Капитальный ремонт жилищного фонда города Благовещенска"</t>
  </si>
  <si>
    <t>03 3 00 00000</t>
  </si>
  <si>
    <t>Основное мероприятие "Обеспечение мероприятий по капитальному ремонту общего имущества в многоквартирных домах"</t>
  </si>
  <si>
    <t>03 3 01 00000</t>
  </si>
  <si>
    <t>Капитальный ремонт жилищного фонда г.Благовещенска</t>
  </si>
  <si>
    <t>03 3 01 10220</t>
  </si>
  <si>
    <t xml:space="preserve">Коммунальное хозяйство </t>
  </si>
  <si>
    <t>0502</t>
  </si>
  <si>
    <t>Основное мероприятие "Организация на территории городского округа тепло-, водо-, электро-, газоснабжения и водоотведения"</t>
  </si>
  <si>
    <t>03 1 01 00000</t>
  </si>
  <si>
    <t>03 1 01 40110</t>
  </si>
  <si>
    <t>Другие вопросы в области жилищно-коммунального хозяйства</t>
  </si>
  <si>
    <t>0505</t>
  </si>
  <si>
    <t>Основное мероприятие "Финансовое обеспечение исполнения функций технического заказчика по объектам капитального строительства муниципальной собственности"</t>
  </si>
  <si>
    <t>11 0 03 00000</t>
  </si>
  <si>
    <t>11 0 03 10590</t>
  </si>
  <si>
    <t>Образование</t>
  </si>
  <si>
    <t>0700</t>
  </si>
  <si>
    <t>0707</t>
  </si>
  <si>
    <t>07 0 00 00000</t>
  </si>
  <si>
    <t>Основное мероприятие "Реализация мер в области муниципальной молодежной политики"</t>
  </si>
  <si>
    <t>07 0 01 00000</t>
  </si>
  <si>
    <t>07 0 01 10180</t>
  </si>
  <si>
    <t>07 0 01 10560</t>
  </si>
  <si>
    <t>Основное мероприятие "Организация деятельности  по работе с молодежью на территории городского округа"</t>
  </si>
  <si>
    <t>07 0 02 00000</t>
  </si>
  <si>
    <t>07 0 02 10590</t>
  </si>
  <si>
    <t>Пенсионное обеспечение</t>
  </si>
  <si>
    <t>1001</t>
  </si>
  <si>
    <t>Доплаты к пенсиям муниципальных служащих</t>
  </si>
  <si>
    <t>00 0 00 80120</t>
  </si>
  <si>
    <t>Дополнительное материальное обеспечение ветеранов культуры, искусства и спорта</t>
  </si>
  <si>
    <t>00 0 00 80080</t>
  </si>
  <si>
    <t>Предоставление мер социальной поддержки гражданам, награжденным званием "Почётный гражданин города Благовещенска"</t>
  </si>
  <si>
    <t>00 0 00 80090</t>
  </si>
  <si>
    <t xml:space="preserve">Мероприятия  в области социальной политики </t>
  </si>
  <si>
    <t>00 0 00 80130</t>
  </si>
  <si>
    <t>Расходы на финансирование муниципального гранта</t>
  </si>
  <si>
    <t>00 0 00 80140</t>
  </si>
  <si>
    <t xml:space="preserve">Физическая культура и спорт </t>
  </si>
  <si>
    <t>1100</t>
  </si>
  <si>
    <t xml:space="preserve">Физическая культура </t>
  </si>
  <si>
    <t>1101</t>
  </si>
  <si>
    <t>06 0 00 00000</t>
  </si>
  <si>
    <t>Основное мероприятие "Организация деятельности муниципальных учреждений в сфере физической культуры и спорта"</t>
  </si>
  <si>
    <t>06 0 01 00000</t>
  </si>
  <si>
    <t>06 0 01 10590</t>
  </si>
  <si>
    <t>Массовый спорт</t>
  </si>
  <si>
    <t>1102</t>
  </si>
  <si>
    <t>Основное мероприятие "Развитие инфраструктуры и материально-технической базы для занятия физической культурой и спортом"</t>
  </si>
  <si>
    <t>06 0 02 00000</t>
  </si>
  <si>
    <t>Совершенствование материально-технической базы для занятий физической культурой и спортом в городе Благовещенске</t>
  </si>
  <si>
    <t>06 0 02 10120</t>
  </si>
  <si>
    <t>Основное мероприятие "Развитие и поддержка физической культуры и спорта на территории городского округа"</t>
  </si>
  <si>
    <t>06 0 03 00000</t>
  </si>
  <si>
    <t>Развитие массовой физкультурно-оздоровительной и спортивной работы с населением</t>
  </si>
  <si>
    <t>06 0 03 10130</t>
  </si>
  <si>
    <t>Проведение городских спортивно-массовых мероприятий - День Здоровья: «Кросс»,  «Азимут», «Оранжевый Мяч», «Лыжня»</t>
  </si>
  <si>
    <t>06 0 03 10140</t>
  </si>
  <si>
    <t xml:space="preserve">Развитие и поддержка  спорта высших достижений </t>
  </si>
  <si>
    <t>06 0 03 10150</t>
  </si>
  <si>
    <t>Создание условий для развития физической культуры и спорта  среди лиц с ограниченными физическими возможностями здоровья</t>
  </si>
  <si>
    <t>06 0 03 10160</t>
  </si>
  <si>
    <t>Средства массовой  информации</t>
  </si>
  <si>
    <t>1200</t>
  </si>
  <si>
    <t>Телевидение и радиовещание</t>
  </si>
  <si>
    <t>1201</t>
  </si>
  <si>
    <t>Обслуживание 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</si>
  <si>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</si>
  <si>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</si>
  <si>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</si>
  <si>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</si>
  <si>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00 0 00 70010</t>
  </si>
  <si>
    <t>Обслуживание государственного (муниципального) долга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</si>
  <si>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</si>
  <si>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</si>
  <si>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</si>
  <si>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</si>
  <si>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Резервный фонд администрации города Благовещенска</t>
  </si>
  <si>
    <t>00 0 00 20010</t>
  </si>
  <si>
    <t>00 0 00  20010</t>
  </si>
  <si>
    <t>Сельское хозяйство и рыболовство</t>
  </si>
  <si>
    <t>0405</t>
  </si>
  <si>
    <t>Расходы на осуществление мероприятий по отлову и содержанию безнадзорных животных, обитающих на территории городского округа</t>
  </si>
  <si>
    <t>08 4 01 10560</t>
  </si>
  <si>
    <t>08 4 01 69700</t>
  </si>
  <si>
    <t>Субсидии казенным предприятиям на возмещение затрат, связанных с выполнением заказа по содержанию и ремонту улично-дорожной сети</t>
  </si>
  <si>
    <t>02 1 01 60070</t>
  </si>
  <si>
    <t>Субсидии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</t>
  </si>
  <si>
    <t>02 1 01 60100</t>
  </si>
  <si>
    <t>Субсидии казенным предприятиям на возмещение затрат, связанных с выполнением заказа по содержанию и обслуживанию средств регулирования дорожного движения</t>
  </si>
  <si>
    <t>02 1 01 60300</t>
  </si>
  <si>
    <t>01 0 00 00000</t>
  </si>
  <si>
    <t>Подпрограмма "Переселение граждан из аварийного жилищного фонда на территории города Благовещенска"</t>
  </si>
  <si>
    <t>01 1 01 00000</t>
  </si>
  <si>
    <t>Обеспечение мероприятий по сносу аварийных домов</t>
  </si>
  <si>
    <t>01 1 01 10490</t>
  </si>
  <si>
    <t>Основное мероприятие "Поддержка организаций, предоставляющих жилищно-коммунальные услуги населению"</t>
  </si>
  <si>
    <t>03 1 02 00000</t>
  </si>
  <si>
    <t>Субсидии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</si>
  <si>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>03 1 02 60120</t>
  </si>
  <si>
    <t>Расходы на организацию проведения конкурсов по отбору управляющих организаций</t>
  </si>
  <si>
    <t>03 1 03 60140</t>
  </si>
  <si>
    <t>00 1 00 87120</t>
  </si>
  <si>
    <t>Субсидии юридическим лицам, предоставляющим населению услуги в отделениях бань</t>
  </si>
  <si>
    <t>03 1 02 60150</t>
  </si>
  <si>
    <t xml:space="preserve">Благоустройство </t>
  </si>
  <si>
    <t>0503</t>
  </si>
  <si>
    <t>Оплата услуг по поставке электроэнергии на  уличное  освещение</t>
  </si>
  <si>
    <t>03 4 01 60170</t>
  </si>
  <si>
    <t xml:space="preserve">Прочие мероприятия по  благоустройству  городского округа </t>
  </si>
  <si>
    <t>03 4 01 60210</t>
  </si>
  <si>
    <t>Субсидии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</t>
  </si>
  <si>
    <t>03 4 01 60290</t>
  </si>
  <si>
    <t>Субсидии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</t>
  </si>
  <si>
    <t>03 4 01 60320</t>
  </si>
  <si>
    <t>Субсидии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</t>
  </si>
  <si>
    <t>03 4 01 60330</t>
  </si>
  <si>
    <t>08 4 01 60260</t>
  </si>
  <si>
    <t>03 5 00 00000</t>
  </si>
  <si>
    <t>Основное мероприятие "Организация деятельности в сфере жилищно-коммунального хозяйства"</t>
  </si>
  <si>
    <t>03 5 01 00000</t>
  </si>
  <si>
    <t>03 5 01 00070</t>
  </si>
  <si>
    <t xml:space="preserve">Национальная безопасность  и правоохранительная деятельность </t>
  </si>
  <si>
    <t>0300</t>
  </si>
  <si>
    <t xml:space="preserve">Защита населения  и территории от чрезвычайных  ситуаций  природного  и техногенного  характера, гражданская оборона </t>
  </si>
  <si>
    <t>0309</t>
  </si>
  <si>
    <t>Подпрограмма "Профилактика нарушений общественного порядка, терроризма и экстремизма"</t>
  </si>
  <si>
    <t>08 1 00 00000</t>
  </si>
  <si>
    <t>Основное мероприятие "Организация противодействия терроризму и преступности на территории города Благовещенска"</t>
  </si>
  <si>
    <t>08 1 01 00000</t>
  </si>
  <si>
    <t>08 1  01 10340</t>
  </si>
  <si>
    <t>Подпрограмма  "Обеспечение безопасности людей на водных объектах, охраны их жизни и здоровья на территории города Благовещенска"</t>
  </si>
  <si>
    <t>08 2 00 00000</t>
  </si>
  <si>
    <t>Основное мероприятие "Организация мероприятий в сфере  обеспечения безопасности   людей на водных объектах"</t>
  </si>
  <si>
    <t>08 2 01 00000</t>
  </si>
  <si>
    <t xml:space="preserve">Обеспечение и проведение мероприятий  по профилактической работе по вопросам  безопасного поведения на воде                                      </t>
  </si>
  <si>
    <t>08 2 01 10360</t>
  </si>
  <si>
    <t>Обеспечение  и проведение мероприятий по созданию спасательных постов</t>
  </si>
  <si>
    <t>08 2 01 10390</t>
  </si>
  <si>
    <t>Подпрограмма "Обеспечение первичных   мер  пожарной безопасности на территории города Благовещенска"</t>
  </si>
  <si>
    <t>08 3 00 00000</t>
  </si>
  <si>
    <t>Основное мероприятие "Осуществление мероприятий по выполнению требований пожарной безопасности"</t>
  </si>
  <si>
    <t>08 3 01 00000</t>
  </si>
  <si>
    <t>Предупреждение  пожаров в границах городского округа</t>
  </si>
  <si>
    <t>08 3 01 10420</t>
  </si>
  <si>
    <t>08 5 00 00000</t>
  </si>
  <si>
    <t>Основное мероприятие "Организация управления системой обеспечения безопасности жизнедеятельности населения и территории"</t>
  </si>
  <si>
    <t>08 5 01 00000</t>
  </si>
  <si>
    <t>08 5  01 10590</t>
  </si>
  <si>
    <t>08 5 01 10590</t>
  </si>
  <si>
    <t>Дошкольное  образование</t>
  </si>
  <si>
    <t>0701</t>
  </si>
  <si>
    <t>04 0 00 00000</t>
  </si>
  <si>
    <t>Подпрограмма "Развитие дошкольного, общего и дополнительного  образования детей"</t>
  </si>
  <si>
    <t>04 1 00 00000</t>
  </si>
  <si>
    <t>Основное мероприятие "Обеспечение  реализации программ дошкольного, начального, основного, среднего  и дополнительного  образования"</t>
  </si>
  <si>
    <t>04 1 01 00000</t>
  </si>
  <si>
    <t>04 1 01 10590</t>
  </si>
  <si>
    <t>600</t>
  </si>
  <si>
    <t>04 3 00 00000</t>
  </si>
  <si>
    <t>Основное мероприятие "Развитие, поддержка и совершенствование системы кадрового потенциала педагогического корпуса"</t>
  </si>
  <si>
    <t>04 3 02 00000</t>
  </si>
  <si>
    <t xml:space="preserve">Единовременные социальные пособия работникам муниципальных образовательных учреждений </t>
  </si>
  <si>
    <t>04 3 02 10610</t>
  </si>
  <si>
    <t xml:space="preserve">Общее образование </t>
  </si>
  <si>
    <t>0702</t>
  </si>
  <si>
    <t xml:space="preserve">Организация подвоза обучающихся в муниципальных образовательных организациях, проживающих в отдаленных населенных пунктах </t>
  </si>
  <si>
    <t>04 1 01 10570</t>
  </si>
  <si>
    <t>04 1 01 10580</t>
  </si>
  <si>
    <t xml:space="preserve">Предоставление бесплатного питания детям из малообеспеченных семей, обучающихся  в муниципальных общеобразовательных организациях города Благовещенска </t>
  </si>
  <si>
    <t>04 1 01 10600</t>
  </si>
  <si>
    <t>Основное мероприятие "Развитие инфраструктуры  дошкольного и общего образования"</t>
  </si>
  <si>
    <t>04  1 02 00000</t>
  </si>
  <si>
    <t xml:space="preserve">Капитальные вложения в объекты муниципальной собственности  </t>
  </si>
  <si>
    <t>04 1 02 40010</t>
  </si>
  <si>
    <t>Развитие кадрового потенциала муниципальных организаций (учреждений)</t>
  </si>
  <si>
    <t>04 3 02 10020</t>
  </si>
  <si>
    <t>Дополнительное образование детей</t>
  </si>
  <si>
    <t>0703</t>
  </si>
  <si>
    <t>Подпрограмма  "Развитие системы защиты прав детей"</t>
  </si>
  <si>
    <t>04 2 00 00000</t>
  </si>
  <si>
    <t>Основное мероприятие "Организация  и обеспечение проведения оздоровительной кампании детей"</t>
  </si>
  <si>
    <t>04 2 02 00000</t>
  </si>
  <si>
    <t>Проведение  мероприятий  по организации отдыха детей в каникулярное время</t>
  </si>
  <si>
    <t>04 2 02 10040</t>
  </si>
  <si>
    <t>Частичная оплата стоимости путевок  для детей работающих граждан в организации отдыха и оздоровления детей в каникулярное время</t>
  </si>
  <si>
    <t>04 2 02 80010</t>
  </si>
  <si>
    <t>Другие вопросы в области образования</t>
  </si>
  <si>
    <t>0709</t>
  </si>
  <si>
    <t>Основное мероприятие "Реализация прав и гарантий на государственную поддержку отдельных категорий граждан"</t>
  </si>
  <si>
    <t>04 2 01 00000</t>
  </si>
  <si>
    <t>04 2 01 87300</t>
  </si>
  <si>
    <t>Основное мероприятие "Организация деятельности в сфере образования"</t>
  </si>
  <si>
    <t>04 3 01 00000</t>
  </si>
  <si>
    <t>04 3 01 00070</t>
  </si>
  <si>
    <t>04 3 01 10590</t>
  </si>
  <si>
    <t>Охрана семьи и детства</t>
  </si>
  <si>
    <t>1004</t>
  </si>
  <si>
    <t>04 1 01 87250</t>
  </si>
  <si>
    <t>Дополнительные гарантии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 на 2014 – 2020 гг.»</t>
  </si>
  <si>
    <t>04 2 01 70000</t>
  </si>
  <si>
    <t>04 2  01 87700</t>
  </si>
  <si>
    <t>04 2 01 11020</t>
  </si>
  <si>
    <t>05 0 00 00000</t>
  </si>
  <si>
    <t>Подпрограмма " Дополнительное образование детей в сфере культуры"</t>
  </si>
  <si>
    <t>05 2 00 00000</t>
  </si>
  <si>
    <t>Основное мероприятие "Организация дополнительного образования детей в сфере культуры"</t>
  </si>
  <si>
    <t>05 2 01 00000</t>
  </si>
  <si>
    <t>05 2 01 10590</t>
  </si>
  <si>
    <t xml:space="preserve">Культура, кинематография </t>
  </si>
  <si>
    <t>0800</t>
  </si>
  <si>
    <t xml:space="preserve">Культура </t>
  </si>
  <si>
    <t>0801</t>
  </si>
  <si>
    <t>Подпрограмма"Библиотечное обслуживание"</t>
  </si>
  <si>
    <t>05 3 00 00000</t>
  </si>
  <si>
    <t>Основное мероприятие "Организация  деятельности библиотек"</t>
  </si>
  <si>
    <t>05 3 01 00000</t>
  </si>
  <si>
    <t>05 3 01 10590</t>
  </si>
  <si>
    <t>Подпрограмма  "Народное творчество и культурно-досуговая деятельность"</t>
  </si>
  <si>
    <t>05 4 00 00000</t>
  </si>
  <si>
    <t>Основное мероприятие "Организация культурно-досуговой деятельности и народного творчества"</t>
  </si>
  <si>
    <t>05 4 01 00000</t>
  </si>
  <si>
    <t>05 4 01 10590</t>
  </si>
  <si>
    <t>Другие вопросы  в области культуры, кинематографии</t>
  </si>
  <si>
    <t>0804</t>
  </si>
  <si>
    <t>Подпрограмма "Историко-культурное наследие"</t>
  </si>
  <si>
    <t>05 1 00 00000</t>
  </si>
  <si>
    <t>Основное мероприятие "Обеспечение сохранности объектов историко-культурного наследия"</t>
  </si>
  <si>
    <t>05 1 01 00000</t>
  </si>
  <si>
    <t>Работы по сохранению объектов историко-культурного наследия</t>
  </si>
  <si>
    <t>05 1 01 10070</t>
  </si>
  <si>
    <t>05 5 00 00000</t>
  </si>
  <si>
    <t>Основное мероприятие "Организация деятельности в сфере культуры"</t>
  </si>
  <si>
    <t>05 5 01 00000</t>
  </si>
  <si>
    <t>05 5 01 00070</t>
  </si>
  <si>
    <t>800</t>
  </si>
  <si>
    <t>05  5 01 10590</t>
  </si>
  <si>
    <t>Основное мероприятие "Реализация мероприятий по развитию и сохранению культуры в городе Благовещенске"</t>
  </si>
  <si>
    <t>05 5 02 00000</t>
  </si>
  <si>
    <t>Поддержка творческих инициатив в сфере культуры города Благовещенска</t>
  </si>
  <si>
    <t>05 5 02 80020</t>
  </si>
  <si>
    <t>01 4 01 10590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</si>
  <si>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</si>
  <si>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"Энергосбережение и повышение энергетической эффективности в городе Благовещенске"</t>
  </si>
  <si>
    <t>03 2 00 00000</t>
  </si>
  <si>
    <t>Основное мероприятие "Обеспечение энергоэффективности в бюджетной и жилищно-коммунальной сферах экономики города Благовещенска"</t>
  </si>
  <si>
    <t>03 2 01 00000</t>
  </si>
  <si>
    <t>Государственная регистрация права муниципальной  собственности на  выявленные  бесхозяйные объекты  инженерной инфраструктуры</t>
  </si>
  <si>
    <t>03 2 01 60230</t>
  </si>
  <si>
    <t>Приобретение квартир в муниципальную собственность по решениям суда</t>
  </si>
  <si>
    <t>00 0 00 70030</t>
  </si>
  <si>
    <t>01 4 00 00000</t>
  </si>
  <si>
    <t>Основное мероприятие "Финансирование расходов на реализацию мероприятий программы и обеспечение деятельности учреждения, осуществляющего функции в жилищной сфере"</t>
  </si>
  <si>
    <t>01 4 01 00000</t>
  </si>
  <si>
    <t>Содержание и ремонт муниципального жилья</t>
  </si>
  <si>
    <t>01 4 01 60010</t>
  </si>
  <si>
    <t>Исполнение обязательств по уплате взносов на капитальный ремонт общего имущества в многоквартирных домах, жилые и нежилые помещения в которых находятся в муниципальной собственности</t>
  </si>
  <si>
    <t>03 3 01 10550</t>
  </si>
  <si>
    <t>Подпрограмма "Улучшение жилищных условий работников муниципальных организаций города Благовещенска"</t>
  </si>
  <si>
    <t>01 2 00 00000</t>
  </si>
  <si>
    <t xml:space="preserve">Основное мероприятие "Обеспечение доступности приобретения (строительства) жилья для работников муниципальных организаций" </t>
  </si>
  <si>
    <t>01 2 01 00000</t>
  </si>
  <si>
    <t>Предоставление работникам муниципальных организаций социальной выплаты за счет средств городского бюджета на компенсацию части стоимости приобретенного (приобретаемого), построенного жилья</t>
  </si>
  <si>
    <t xml:space="preserve">1003 </t>
  </si>
  <si>
    <t>01 2 01 80070</t>
  </si>
  <si>
    <t>Подпрограмма "Обеспечение жильём молодых семей"</t>
  </si>
  <si>
    <t>01 3 00 00000</t>
  </si>
  <si>
    <t>01 3 01 00000</t>
  </si>
  <si>
    <t>00 1 00 R0820</t>
  </si>
  <si>
    <t>400</t>
  </si>
  <si>
    <t>тыс.руб.</t>
  </si>
  <si>
    <t>01 1 00 00000</t>
  </si>
  <si>
    <t>Основное мероприятие "Обеспечение мероприятий по переселению граждан из аварийного жилищного фонда"</t>
  </si>
  <si>
    <t>04 1  01 88500</t>
  </si>
  <si>
    <t>04 1 01 88500</t>
  </si>
  <si>
    <t>Организация и проведение мероприятий по работе с молодежью</t>
  </si>
  <si>
    <t>Обеспечение  функционирования АПК "Безопасный город" и комплексной системы экстренного оповещения населения</t>
  </si>
  <si>
    <t xml:space="preserve">Молодежная политика </t>
  </si>
  <si>
    <t xml:space="preserve">Строительство мусороперерабатывающего комплекса "БлагЭко" в г.Благовещенске. (II очередь), Амурская область </t>
  </si>
  <si>
    <t>Закупка товаров, работ и услуг для обеспечения  государственных(муниципальных) нужд</t>
  </si>
  <si>
    <t xml:space="preserve">Премия одаренным  детям, обучающимся в образовательных организациях   города Благовещенска </t>
  </si>
  <si>
    <t>08 4 01 10640</t>
  </si>
  <si>
    <t>Обеспечение  проведения выборов и референдумов</t>
  </si>
  <si>
    <t>Проведение  выборов   органов местного самоуправления</t>
  </si>
  <si>
    <t>0107</t>
  </si>
  <si>
    <t>00 0 00 00100</t>
  </si>
  <si>
    <t>02 1 01 S7480</t>
  </si>
  <si>
    <t>Формирование современной городской среды (благоустройство дворовых и общественных территорий)</t>
  </si>
  <si>
    <t>13 0 00 00000</t>
  </si>
  <si>
    <t>13 0 01 L5550</t>
  </si>
  <si>
    <t>04 2 02 S7500</t>
  </si>
  <si>
    <t>Выполнение работ по актуализации схемы теплоснабжения города Благовещенска</t>
  </si>
  <si>
    <t>03 1 01 10651</t>
  </si>
  <si>
    <t>Общественный туалет в г.Благовещенске (в т.ч. проектные работы)</t>
  </si>
  <si>
    <t>03 4 01 40640</t>
  </si>
  <si>
    <t>Субсидии юридическим лицам на возмещение затрат, связанных с выполнением работ по содержанию санитарной службы и мест захоронения</t>
  </si>
  <si>
    <t>02 1 01 40040</t>
  </si>
  <si>
    <t>02 1 01 40610</t>
  </si>
  <si>
    <t>02 1 01 40630</t>
  </si>
  <si>
    <t>02 1 01 40650</t>
  </si>
  <si>
    <t>09 1 01 40140</t>
  </si>
  <si>
    <t>03 1 01 40660</t>
  </si>
  <si>
    <t>Субсидии транспортным предприятиям на возмещение затрат, не обеспеченных утвержденным экономически обоснованным тарифом, связанных с осуществлением перевозок пассажиров по нерентабельным муниципальным автобусным маршрутам регулярных перевозок в городском сообщении, включая садовые маршруты</t>
  </si>
  <si>
    <t>02 1 01 40060</t>
  </si>
  <si>
    <t>08 1 01 11590</t>
  </si>
  <si>
    <t>Основное мероприятие «Выявление и поддержка одаренных детей»</t>
  </si>
  <si>
    <t>Развитие интеллектуального, творческого и физического потенциала всех категорий детей</t>
  </si>
  <si>
    <t>04 2 03 00000</t>
  </si>
  <si>
    <t>04 2 03 10050</t>
  </si>
  <si>
    <t>Основное мероприятие «Развитие, поддержка и совершенствование системы кадрового потенциала педагогического корпуса»</t>
  </si>
  <si>
    <t>Магистральные улицы Северного планировочного района г.Благовещенска, Амурская область (ул.Зеленая от ул.Новотроицкое шоссе до ул. 50 лет Октября) (в т.ч. проектные работы)</t>
  </si>
  <si>
    <t>Судебная система</t>
  </si>
  <si>
    <t>Предоставление субсидий бюджетным, автономным
учреждениям и иным некоммерческим организациям</t>
  </si>
  <si>
    <t>0105</t>
  </si>
  <si>
    <t>00 1 00  51200</t>
  </si>
  <si>
    <t>02 1 01 60090</t>
  </si>
  <si>
    <t>Ремонт улично-дорожной сети города Благовещенска</t>
  </si>
  <si>
    <t>04 1 02 40670</t>
  </si>
  <si>
    <t>04 1 01 87620</t>
  </si>
  <si>
    <t>03 4 01 60110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</si>
  <si>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</t>
  </si>
  <si>
    <t>04 1 01 S7620</t>
  </si>
  <si>
    <t xml:space="preserve"> Обновление и укрепление материально - технической базы муниципальных организаций (учреждений)</t>
  </si>
  <si>
    <t>04 1 02 10010</t>
  </si>
  <si>
    <t>Создание новых мест в общеобразовательных организациях</t>
  </si>
  <si>
    <t>01 3 01 L4970</t>
  </si>
  <si>
    <t>Капитальный ремонт путепровода через ул.Загородная-ул.Северная (в т.ч.проектные работы)</t>
  </si>
  <si>
    <t>Обеспечение бесплатным двухразовым питанием детей с ограниченными возможностями здоровья, обучающихся в муниципальных общеобразовательных организациях, в рамках  подпрограммы "Развитие системы защиты прав детей" государственной программы "Развитие образования Амурской области на 201-2020 годы"</t>
  </si>
  <si>
    <t>02 1 01 40680</t>
  </si>
  <si>
    <t>04 1 02 00000</t>
  </si>
  <si>
    <t>04 1 02 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</si>
  <si>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</si>
  <si>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08 4 01 55050</t>
  </si>
  <si>
    <t>Проведение капитального ремонта и ремонта дворовых территорий многоквартирных домов, проездов к дворовым территориям многоквартирных домов, устройство ограждений на территориях (территорий) многоквартирных домов, устройство детских и спортивных площадок на дворовых территориях многоквартирных домов</t>
  </si>
  <si>
    <t>Основное мероприятие "Государственная поддержка молодых семей, признанных в установленном порядке нуждающимися в улучшении жилищных условий"</t>
  </si>
  <si>
    <t>Реализация мероприятий по обеспечению жильём молодых семей</t>
  </si>
  <si>
    <t>Распределение бюджетных ассигнований по разделам, подразделам, целевым статьям (государственным (муниципальным) программам и непрограммным направлениям деятельности), группам видов расходов классификации расходов бюджетов на 2019 год и плановый период 2020 и 2021 годов</t>
  </si>
  <si>
    <t>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«Развитие системы защиты прав детей» государственной программы «Развитие образования Амурской области»</t>
  </si>
  <si>
    <t>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«Обеспечение реализации основных направлений государственной политики в сфере реализации государственной программы» государственной программы «Развитие здравоохранения Амурской области»</t>
  </si>
  <si>
    <t>Финансовое обеспечение государственных полномочий по организационному обеспечению деятельности административных комиссий области в рамках подпрограммы «Обеспечение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«Повышение эффективности деятельности органов государственной власти и управления Амурской области »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</si>
  <si>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реализации основных направлений государственной политики в отдельных сферах государственного управления на территории области" государственной программы "Повышение эффективности деятельности органов государственной власти и управления Амурской области"</t>
  </si>
  <si>
    <t>Развитие аппаратно-программного комплекса  "Безопасный город" в рамках подпрограммы "Профилактика правонарушений, профилактика терроризма и экстремизма" государственной  программы "Снижение рисков и смягчение последствий чрезвычайных ситуаций природного и техногенного характера, а также обеспечение безопасности населения области"</t>
  </si>
  <si>
    <t xml:space="preserve">Осуществление государственных  полномочий по организации проведения мероприятий по регулированию численности безнадзорных животных </t>
  </si>
  <si>
    <t xml:space="preserve">Реализация мероприятий планов социального развития центров экономического роста субъектов Российской Федерации , входящих в состав Дальневосточного федерального округа  </t>
  </si>
  <si>
    <t>02 1 01 40080</t>
  </si>
  <si>
    <t>Строительство водопроводных сетей в районе "5-й стройки"</t>
  </si>
  <si>
    <t>03 1 01 40090</t>
  </si>
  <si>
    <t>Тепло- и водоснабжение жилых домов в районе "Астрахановка" г.Благовещенск</t>
  </si>
  <si>
    <t>03 1 01 40580</t>
  </si>
  <si>
    <t>Строительство станции обезжелезивания в верхнем поселке с.Белогорья (в т.ч. проектные работы)</t>
  </si>
  <si>
    <t>Ликвидационный тампонаж скважины в с.Белогорье</t>
  </si>
  <si>
    <t>03 1 01 40690</t>
  </si>
  <si>
    <t>03 1 01 40710</t>
  </si>
  <si>
    <t>03 1 01 40720</t>
  </si>
  <si>
    <t>Проведение лесоустройства и постановка на кадастровый учет земельных участков, занятых городскими лесами, разработка проекта сельскохозяйственного регламента городских лесов</t>
  </si>
  <si>
    <t>08 4 01 10670</t>
  </si>
  <si>
    <t>Подпрограмма  "Обеспечение реализации муниципальной программы "Развитие образования города Благовещенска на 2015 -2021 годы" и прочие мероприятия в области образования"</t>
  </si>
  <si>
    <t>Подпрограмма "Обеспечение реализации муниципальной программы "Развитие образования города Благовещенска на 2015-2021 годы" и прочие мероприятия  в области образования"</t>
  </si>
  <si>
    <t>Подпрограмма "Обеспечение реализации муниципальной программы "Развитие и сохранение культуры в городе  Благовещенске на 2015-2021  годы" и прочие расходы в сфере культуры"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</si>
  <si>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</si>
  <si>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области»</t>
  </si>
  <si>
    <t>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</si>
  <si>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в рамках подпрограммы «Социальная поддержка семьи и детей в Амурской области» государственной программы «Развитие системы социальной защиты населения Амурской области»</t>
  </si>
  <si>
    <t>Условно-утверждаемые расходы</t>
  </si>
  <si>
    <t>00 0 00 S7719</t>
  </si>
  <si>
    <t>02 1 01 S7711</t>
  </si>
  <si>
    <t>02 1 01 S7712</t>
  </si>
  <si>
    <t>02 1 01 S7713</t>
  </si>
  <si>
    <t>03 1 02 S7714</t>
  </si>
  <si>
    <t>03 4 01 S7716</t>
  </si>
  <si>
    <t>03 4 01 S7717</t>
  </si>
  <si>
    <t>03 4 01 S7718</t>
  </si>
  <si>
    <t>03 1 02 S7715</t>
  </si>
  <si>
    <t>Муниципальная программа "Развитие потенциала молодежи города Благовещенска на 2015-2021 годы"</t>
  </si>
  <si>
    <t>Дошкольное образовательное учреждение на 350 мест в Северном планировочном районе г.Благовещенск, Амурская область (в т.ч.проектные работы)</t>
  </si>
  <si>
    <t>Муниципальная программа "Обеспечение доступным и комфортным жильем населения города Благовещенска на 2015-2021 годы"</t>
  </si>
  <si>
    <t>Подпрограмма "Обеспечение реализации муниципальной программы "Обеспечение доступным и комфортным жильём населения города Благовещенска на 2015-2021 годы" и прочие расходы"</t>
  </si>
  <si>
    <t>Муниципальная программа "Развитие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2015-2021 годы"</t>
  </si>
  <si>
    <t>Муниципальная программа "Обеспечение безопасности жизнедеятельности населения и территории города Благовещенска на 2015-2021 годы"</t>
  </si>
  <si>
    <t>Подпрограмма «Обеспечение реализации муниципальной программы «Обеспечение безопасности жизнедеятельности населения и территории города Благовещенска на 2015 – 2021 годы»</t>
  </si>
  <si>
    <t>Муниципальная программа "Развитие транспортной системы города Благовещенска на 2015-2021 годы"</t>
  </si>
  <si>
    <t>Мероприятия государственной программы Амурской области "Развитие транспортной системы Амурской области", направленные на строительство и ремонт улично-дорожной сети города Благовещенска</t>
  </si>
  <si>
    <t>Муниципальная программа "Экономическое развитие города Благовещенска на 2015-2021 годы"</t>
  </si>
  <si>
    <t>Муниципальная 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2015-2021 годы"</t>
  </si>
  <si>
    <t>Муниципальная программа "Развитие 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на 2015-2021 годы"</t>
  </si>
  <si>
    <t>Подпрограмма "Обеспечение реализации муниципальной программы "Развитие и модернизация жилищно-коммунального хозяйства,       энергосбережение и повышение энергетической эффективности, благоустройство территории города Благовещенска на 2015-2021 годы""</t>
  </si>
  <si>
    <t>Муниципальная программа "Развитие градостроительной деятельности и управление земельными ресурсами на территории муниципального образования города Благовещенска на 2015-2021 годы"</t>
  </si>
  <si>
    <t>Муниципальная программа "Развитие образования города Благовещенска на 2015-2021 годы"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</si>
  <si>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дошкольного, общего и дополнительного образования детей" государственной программы "Развитие образования Амурской области"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</si>
  <si>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государственной программы «Развитие образования Амурской области»</t>
  </si>
  <si>
    <t>Муниципальная программа "Развитие и сохранение культуры в городе  Благовещенске на 2015-2021 годы"</t>
  </si>
  <si>
    <t>Частичная оплата стоимости путевок для детей работающих граждан в организации отдыха и оздоровления детей в каникулярное время  на условиях софинансирования мероприятия  подпрограммы "Развитие системы защиты прав детей"  государственной программы  "Развитие образования Амурской области"</t>
  </si>
  <si>
    <t>Финансовое обеспечение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«Социальная поддержка семьи и детей в Амурской области» государственной программы "Развитие системы социальной защиты населения Амурской области"</t>
  </si>
  <si>
    <t>Муниципальная программа "Развитие физической культуры и спорта в городе Благовещенске на 2015-2021 годы"</t>
  </si>
  <si>
    <t>Финансовое обеспечение государственных полномочий по компенсации выпадающих доходов теплоснабжающих организаций, возникающих в результате установления льготных тарифов для населения Амурской области в рамках подпрограммы «Обеспечение доступности коммунальных услуг, повышение качества и надежности жилищно – коммунального обслуживания населения» государственной программы Амурской области «Модернизация жилищно – коммунального комплекса, энергосбережение и повышение энергетической эффективности в Амурской области»</t>
  </si>
  <si>
    <t>04 1 02 L5200</t>
  </si>
  <si>
    <t>Магистральные  улицы Северного планировочного района г.Благовещенска, Амурская область (ул.Шафира от ул.Муравьева-Амурского до ул.50 лет Октября) (в т.ч. проектные работы)</t>
  </si>
  <si>
    <t>Строительство дорог в Северном планировочном районе 4 км. Новотроицкого шоссе с обеспечением инженерной инфраструктурой земельных участков, предоставленных многодетным семьям (в т.ч. проектные работы)</t>
  </si>
  <si>
    <t>Капитальный ремонт ул.Мухина от ул.Пролетарская до ул.Зейская (в т.ч. проектные работы)</t>
  </si>
  <si>
    <t xml:space="preserve">Строительство дорог в районе "5-й стройки" для обеспечения транспортной инфраструктурой земельных участков, предоставленных  многодетным  семьям (ул.Молодежная, ул.Степная, ул.Хвойная, ул.Берёзовая, ул.Ольховая) (в т.ч.проектные работы) </t>
  </si>
  <si>
    <t>Реконструкция автомобильной дороги по ул.Тепличная города Благовещенска (в т.ч. проектные работы)</t>
  </si>
  <si>
    <t xml:space="preserve">Выравнивание обеспеченности муниципальных образований по реализации ими отдельных расходных обязательств (процентные платежи по муниципальному долгу) 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</si>
  <si>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субсидии казенным предприятиям на возмещение затрат, связанных с выполнением заказа по содержанию и ремонту улично-дорожной сети)     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</si>
  <si>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 на возмещение затрат, связанных с выполнением работ по устройству, ремонту и модернизации отдельных элементов обустройства автомобильных дорог в границах городского округа)           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</si>
  <si>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 возмещение затрат, связанных с выполнением заказа по содержанию и обслуживанию средств регулирования дорожного движения)</t>
  </si>
  <si>
    <t>Выравнивание обеспеченности муниципальных образований по реализации ими отдельных расходных обязательств (предоставление субсидий юридическим лицам, предоставляющим населению жилищные услуги по тарифам, не обеспечивающим возмещения затрат (неблагоустроенный жилищный фонд и общежития)</t>
  </si>
  <si>
    <t xml:space="preserve">Выравнивание обеспеченности муниципальных образований по реализации ими отдельных расходных обязательств (предоставление субсидий юридическим лица, предоставляющим населению услуги в отделениях бань)        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</si>
  <si>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уборке с территорий общего пользования случайного мусора и несанкционированных свалок, а также по установке и содержанию элементов благоустройства на территориях общего пользования муниципального образования города Благовещенска)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</si>
  <si>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муниципальных сетей наружного освещения и световых устройств)</t>
  </si>
  <si>
    <t>Выравнивание обеспеченности муниципальных образований по реализации ими отдельных расходных обязательств (предоставление субсидий казенным предприятиям на возмещение затрат, связанных с выполнением заказа по содержанию озелененных территорий общего пользования города Благовещенска)</t>
  </si>
  <si>
    <t>Школа на 1500 мест в квартале 406 г.Благовещенск, Амурская область (в т.ч. проектные работы)</t>
  </si>
  <si>
    <t>04 1 02 40730</t>
  </si>
  <si>
    <t>Штрафы за административное нарушение</t>
  </si>
  <si>
    <t>00 0 00 70023</t>
  </si>
  <si>
    <t>Реконструкция очистных сооружений Северного жилого района, г.Благовещенск, Амурская область (в т.ч. проектные работы)</t>
  </si>
  <si>
    <t>03 1 01 40330</t>
  </si>
  <si>
    <t>Строительство сетей водоснабжения для подключения жилых объектов в районе железнодорожного вокзала к сетям центрального водоснабжения</t>
  </si>
  <si>
    <t>03 1 01 40740</t>
  </si>
  <si>
    <t>Обустройство автомобильных дорог и обеспечение условий для безопасного дорожного движения на территории Амурской области</t>
  </si>
  <si>
    <t>02 1 01 80180</t>
  </si>
  <si>
    <t>Создание в образовательных организациях  условий для получения  детьми - инвалидами качественного образования в рамках осуществления мероприятий государственной программы Российской Федерации "Доступная среда" на 2011-2020 годы</t>
  </si>
  <si>
    <t>04 1  02 L0270</t>
  </si>
  <si>
    <t>04  1  Р2 51590</t>
  </si>
  <si>
    <t>04 1 Е1 55200</t>
  </si>
  <si>
    <t>Обеспечение транспортной безопасности на объектах транспортной инфраструктуры (мост через р.Зея)</t>
  </si>
  <si>
    <t>08 1 01 10680</t>
  </si>
  <si>
    <t xml:space="preserve">Очистные сооружения ливневой канализации центрально-исторического планировочного района г.Благовещенска  </t>
  </si>
  <si>
    <t>Всего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</si>
  <si>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</si>
  <si>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02 1 R153930</t>
  </si>
  <si>
    <t>Разработка программ комплексного развития</t>
  </si>
  <si>
    <t>11 0 02 10510</t>
  </si>
  <si>
    <t>Мероприятия государственной программы Амурской области "Модернизация жилищно-коммунального комплекса, энергосбережения и повышение энергетической эффективности в Амурской области", направленные на строительство, реконструкцию, капитальный ремонт и замену оборудования коммунальной инфраструктуры</t>
  </si>
  <si>
    <t>03 1 01 S7400</t>
  </si>
  <si>
    <t>13 0 F2 55550</t>
  </si>
  <si>
    <t>13 0 F255550</t>
  </si>
  <si>
    <t>02 1 01 S0180</t>
  </si>
  <si>
    <t>Оборудование контейнерных площадок для сбора твердых коммунальных отходов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</si>
  <si>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</si>
  <si>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04 1 Е4 52100</t>
  </si>
  <si>
    <t>Основное мероприятие "Обустройство мест массового культурного досуга и активного отдыха жителей города Благовещенска"</t>
  </si>
  <si>
    <t>Субсидии юридическим лицам на финансовое обеспечение  (возмещение) затрат связанных с обустройством мест массового отдыха населения (парки)</t>
  </si>
  <si>
    <t>05 5 03 00000</t>
  </si>
  <si>
    <t>05 5 03 60351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</si>
  <si>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</si>
  <si>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01 1 01 55050</t>
  </si>
  <si>
    <t>Сливная станция с. Садовое, Амурская область (в т.ч. проектные работы)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</si>
  <si>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счет средств областного бюджета</t>
  </si>
  <si>
    <t>01 1 01 80510</t>
  </si>
  <si>
    <t>Реализация программ формирования современной городской среды (субсидия юридическим лицам на возмещение затрат по выполнению работ по благоустройству дворовых территорий многоквартирных домов города Благовещенска)</t>
  </si>
  <si>
    <t>13 0 F2 55551</t>
  </si>
  <si>
    <t>Субсидия юридическим лицам и индивидуальным предпринимателям на возмещение затрат, связанных с оказанием услуг (выполнением работ) по отлову, транспортировке и содержанию безнадзорных животных, обитающих на территории городского округа</t>
  </si>
  <si>
    <t>08 4 01 10561</t>
  </si>
  <si>
    <t>03 4 01 S7330</t>
  </si>
  <si>
    <t>Основное мероприятие "Развитие административного центра Амурской области"</t>
  </si>
  <si>
    <t>Поддержка административного центра Амурской области</t>
  </si>
  <si>
    <t>03 4 02 00000</t>
  </si>
  <si>
    <t>03 4 02 S0560</t>
  </si>
  <si>
    <t>Реализация мероприятий программы формирования современной городской среды</t>
  </si>
  <si>
    <t>Выплата премий  и грантов  в сфере молодежной политики</t>
  </si>
  <si>
    <t>Осуществление муниципальными образованиями дорожной деятельности в рамках реализации национального проекта «Безопасные и качественные автомобильные дороги» (дороги местного значения)</t>
  </si>
  <si>
    <t>02 1 R1 87730</t>
  </si>
  <si>
    <t>Оплата услуг региональному оператору по обращению с твердыми коммунальными отходами</t>
  </si>
  <si>
    <t>03 1 03 10540</t>
  </si>
  <si>
    <t>03 1 03 S7330</t>
  </si>
  <si>
    <t>Ликвидация последствий разлива мазута в районе ул.Амурская,2-ул.Первомайская,66-ул.Горького,1 в кварталах 98, 103 города Благовещенск Амурской области (в т.ч. проектные работы, корректировка проектной документации)</t>
  </si>
  <si>
    <t>08 4 01 10630</t>
  </si>
  <si>
    <t>Обновление и укрепление материально-технической базы АПК «Безопасный город»  и комплексной системы экстренного оповещения населения»</t>
  </si>
  <si>
    <t>08 1  01 10330</t>
  </si>
  <si>
    <t xml:space="preserve"> Модернизация систем общего образования</t>
  </si>
  <si>
    <t>04 1 02  10920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</si>
  <si>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Федеральным законом от 25.10.2002 № 125-ФЗ "О жилищных субсидиях гражданам, выезжающим из районов Крайнего Севера и приравненных к ним местностей"</t>
  </si>
  <si>
    <t>01 4 01 87630</t>
  </si>
  <si>
    <t>Приложение № 2</t>
  </si>
  <si>
    <t>Расходы по охране, содержанию объектов незавершенного строительства и объектов в период передачи в муниципальную собственность</t>
  </si>
  <si>
    <t>Строительство сетей водоснабжения в кварталах 197, 203, 204 г.Благовещенск, Амурская область (в т.ч. проектные работы)</t>
  </si>
  <si>
    <t>Создание модельной муниципальной библиотеки в целях реализации национального проекта "Культура"</t>
  </si>
  <si>
    <t>05 3 А1 54540</t>
  </si>
  <si>
    <t>Муниципальная программа "Формирование современной городской среды на территории города Благовещенска на 2018-2024 годы"</t>
  </si>
  <si>
    <t>Основное мероприятие "Реализация мероприятий в рамках национального проекта "Жильё и городская среда"</t>
  </si>
  <si>
    <t>13 0 02 00000</t>
  </si>
  <si>
    <t>от 13.08.2019 № 59/71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</si>
</sst>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7" x14ac:knownFonts="1">
    <font>
      <sz val="11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 Cyr"/>
      <charset val="204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47">
    <xf numFmtId="0" fontId="0" fillId="0" borderId="0" xfId="0"/>
    <xf numFmtId="1" fontId="6" fillId="0" borderId="0" xfId="1" applyNumberFormat="1" applyFont="1" applyFill="1" applyBorder="1" applyAlignment="1">
      <alignment horizontal="left" wrapText="1"/>
    </xf>
    <xf numFmtId="0" fontId="7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left"/>
    </xf>
    <xf numFmtId="0" fontId="7" fillId="0" borderId="0" xfId="2" applyFont="1" applyFill="1"/>
    <xf numFmtId="1" fontId="6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left" wrapText="1"/>
    </xf>
    <xf numFmtId="49" fontId="9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164" fontId="9" fillId="0" borderId="0" xfId="2" applyNumberFormat="1" applyFont="1" applyFill="1"/>
    <xf numFmtId="0" fontId="10" fillId="0" borderId="0" xfId="2" applyFont="1" applyFill="1"/>
    <xf numFmtId="49" fontId="9" fillId="0" borderId="0" xfId="1" applyNumberFormat="1" applyFont="1" applyFill="1" applyBorder="1" applyAlignment="1">
      <alignment horizontal="center"/>
    </xf>
    <xf numFmtId="49" fontId="6" fillId="0" borderId="0" xfId="1" applyNumberFormat="1" applyFont="1" applyFill="1" applyAlignment="1">
      <alignment horizontal="center"/>
    </xf>
    <xf numFmtId="49" fontId="6" fillId="0" borderId="0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11" fillId="0" borderId="0" xfId="2" applyFont="1" applyFill="1"/>
    <xf numFmtId="49" fontId="6" fillId="0" borderId="0" xfId="2" applyNumberFormat="1" applyFont="1" applyFill="1" applyAlignment="1">
      <alignment horizontal="center"/>
    </xf>
    <xf numFmtId="164" fontId="6" fillId="0" borderId="0" xfId="0" applyNumberFormat="1" applyFont="1" applyFill="1"/>
    <xf numFmtId="49" fontId="6" fillId="0" borderId="0" xfId="2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Font="1" applyFill="1" applyAlignment="1">
      <alignment horizontal="left" wrapText="1"/>
    </xf>
    <xf numFmtId="49" fontId="9" fillId="0" borderId="0" xfId="2" applyNumberFormat="1" applyFont="1" applyFill="1" applyBorder="1" applyAlignment="1">
      <alignment horizontal="center"/>
    </xf>
    <xf numFmtId="0" fontId="9" fillId="0" borderId="0" xfId="2" applyFont="1" applyFill="1" applyAlignment="1">
      <alignment horizontal="center"/>
    </xf>
    <xf numFmtId="0" fontId="6" fillId="0" borderId="0" xfId="2" applyFont="1" applyFill="1" applyAlignment="1">
      <alignment wrapText="1"/>
    </xf>
    <xf numFmtId="164" fontId="6" fillId="0" borderId="0" xfId="2" applyNumberFormat="1" applyFont="1" applyFill="1" applyAlignment="1">
      <alignment horizontal="right"/>
    </xf>
    <xf numFmtId="164" fontId="9" fillId="0" borderId="0" xfId="1" applyNumberFormat="1" applyFont="1" applyFill="1" applyAlignment="1">
      <alignment horizontal="right"/>
    </xf>
    <xf numFmtId="1" fontId="6" fillId="0" borderId="0" xfId="1" applyNumberFormat="1" applyFont="1" applyFill="1" applyBorder="1" applyAlignment="1">
      <alignment horizontal="left" vertical="center" wrapText="1"/>
    </xf>
    <xf numFmtId="164" fontId="11" fillId="0" borderId="0" xfId="2" applyNumberFormat="1" applyFont="1" applyFill="1"/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164" fontId="9" fillId="0" borderId="0" xfId="2" applyNumberFormat="1" applyFont="1" applyFill="1" applyAlignment="1">
      <alignment horizontal="right"/>
    </xf>
    <xf numFmtId="1" fontId="13" fillId="0" borderId="0" xfId="1" applyNumberFormat="1" applyFont="1" applyFill="1" applyBorder="1" applyAlignment="1">
      <alignment horizontal="left" wrapText="1"/>
    </xf>
    <xf numFmtId="0" fontId="13" fillId="0" borderId="0" xfId="1" applyFont="1" applyFill="1" applyAlignment="1">
      <alignment horizontal="left" wrapText="1"/>
    </xf>
    <xf numFmtId="1" fontId="9" fillId="0" borderId="0" xfId="2" applyNumberFormat="1" applyFont="1" applyFill="1" applyBorder="1" applyAlignment="1">
      <alignment horizontal="left" vertical="center" wrapText="1"/>
    </xf>
    <xf numFmtId="49" fontId="9" fillId="0" borderId="0" xfId="2" applyNumberFormat="1" applyFont="1" applyFill="1" applyBorder="1" applyAlignment="1">
      <alignment horizontal="left"/>
    </xf>
    <xf numFmtId="1" fontId="9" fillId="0" borderId="0" xfId="1" applyNumberFormat="1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justify" vertical="top" wrapText="1"/>
    </xf>
    <xf numFmtId="1" fontId="6" fillId="0" borderId="0" xfId="2" applyNumberFormat="1" applyFont="1" applyFill="1" applyBorder="1" applyAlignment="1">
      <alignment horizontal="left" vertical="center" wrapText="1"/>
    </xf>
    <xf numFmtId="49" fontId="6" fillId="0" borderId="0" xfId="2" applyNumberFormat="1" applyFont="1" applyFill="1" applyBorder="1" applyAlignment="1">
      <alignment horizontal="left"/>
    </xf>
    <xf numFmtId="0" fontId="6" fillId="0" borderId="0" xfId="2" applyFont="1" applyFill="1" applyAlignment="1">
      <alignment horizontal="left" vertical="center" wrapText="1"/>
    </xf>
    <xf numFmtId="0" fontId="6" fillId="0" borderId="0" xfId="2" applyFont="1" applyFill="1" applyBorder="1" applyAlignment="1">
      <alignment vertical="top" wrapText="1"/>
    </xf>
    <xf numFmtId="0" fontId="6" fillId="0" borderId="0" xfId="2" applyFont="1" applyFill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1" fontId="9" fillId="0" borderId="0" xfId="1" applyNumberFormat="1" applyFont="1" applyFill="1" applyBorder="1" applyAlignment="1">
      <alignment horizontal="center" wrapText="1"/>
    </xf>
    <xf numFmtId="164" fontId="14" fillId="0" borderId="0" xfId="2" applyNumberFormat="1" applyFont="1" applyFill="1" applyAlignment="1">
      <alignment horizontal="right"/>
    </xf>
    <xf numFmtId="165" fontId="15" fillId="0" borderId="0" xfId="2" applyNumberFormat="1" applyFont="1" applyFill="1"/>
    <xf numFmtId="0" fontId="11" fillId="0" borderId="0" xfId="2" applyFont="1" applyFill="1" applyAlignment="1">
      <alignment vertical="center" wrapText="1"/>
    </xf>
    <xf numFmtId="0" fontId="11" fillId="0" borderId="0" xfId="2" applyFont="1" applyFill="1" applyAlignment="1">
      <alignment horizontal="center"/>
    </xf>
    <xf numFmtId="164" fontId="11" fillId="0" borderId="0" xfId="2" applyNumberFormat="1" applyFont="1" applyFill="1" applyAlignment="1">
      <alignment horizontal="right"/>
    </xf>
    <xf numFmtId="164" fontId="7" fillId="0" borderId="1" xfId="2" applyNumberFormat="1" applyFont="1" applyFill="1" applyBorder="1" applyAlignment="1">
      <alignment horizontal="right"/>
    </xf>
    <xf numFmtId="3" fontId="16" fillId="0" borderId="0" xfId="4" applyNumberFormat="1" applyFont="1" applyFill="1" applyBorder="1" applyAlignment="1" applyProtection="1">
      <alignment horizontal="left" vertical="center" wrapText="1"/>
      <protection locked="0"/>
    </xf>
    <xf numFmtId="164" fontId="9" fillId="0" borderId="0" xfId="0" applyNumberFormat="1" applyFont="1" applyFill="1"/>
    <xf numFmtId="164" fontId="10" fillId="0" borderId="0" xfId="2" applyNumberFormat="1" applyFont="1" applyFill="1"/>
    <xf numFmtId="1" fontId="9" fillId="0" borderId="0" xfId="1" applyNumberFormat="1" applyFont="1" applyFill="1" applyBorder="1" applyAlignment="1">
      <alignment wrapText="1"/>
    </xf>
    <xf numFmtId="1" fontId="9" fillId="0" borderId="0" xfId="1" applyNumberFormat="1" applyFont="1" applyFill="1" applyBorder="1" applyAlignment="1">
      <alignment horizontal="center"/>
    </xf>
    <xf numFmtId="164" fontId="6" fillId="0" borderId="0" xfId="2" applyNumberFormat="1" applyFont="1" applyFill="1"/>
    <xf numFmtId="164" fontId="6" fillId="0" borderId="0" xfId="0" applyNumberFormat="1" applyFont="1" applyFill="1" applyAlignment="1"/>
    <xf numFmtId="0" fontId="6" fillId="0" borderId="0" xfId="1" applyFont="1" applyFill="1" applyAlignment="1">
      <alignment horizontal="left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NumberFormat="1" applyFont="1" applyFill="1" applyAlignment="1">
      <alignment wrapText="1"/>
    </xf>
    <xf numFmtId="0" fontId="6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Alignment="1">
      <alignment horizontal="left" wrapText="1"/>
    </xf>
    <xf numFmtId="1" fontId="9" fillId="0" borderId="0" xfId="7" applyNumberFormat="1" applyFont="1" applyFill="1" applyBorder="1" applyAlignment="1">
      <alignment horizontal="left" wrapText="1"/>
    </xf>
    <xf numFmtId="49" fontId="9" fillId="0" borderId="0" xfId="7" applyNumberFormat="1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6" fillId="0" borderId="0" xfId="7" applyFont="1" applyFill="1" applyBorder="1" applyAlignment="1">
      <alignment horizontal="left" wrapText="1"/>
    </xf>
    <xf numFmtId="49" fontId="6" fillId="0" borderId="0" xfId="7" applyNumberFormat="1" applyFont="1" applyFill="1" applyBorder="1" applyAlignment="1">
      <alignment horizontal="center"/>
    </xf>
    <xf numFmtId="1" fontId="6" fillId="0" borderId="0" xfId="7" applyNumberFormat="1" applyFont="1" applyFill="1" applyBorder="1" applyAlignment="1">
      <alignment horizontal="left" wrapText="1"/>
    </xf>
    <xf numFmtId="0" fontId="6" fillId="0" borderId="0" xfId="2" applyFont="1" applyFill="1" applyBorder="1"/>
    <xf numFmtId="0" fontId="6" fillId="0" borderId="0" xfId="1" applyFont="1" applyFill="1" applyBorder="1" applyAlignment="1">
      <alignment wrapText="1"/>
    </xf>
    <xf numFmtId="49" fontId="9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" fontId="6" fillId="0" borderId="0" xfId="5" applyNumberFormat="1" applyFont="1" applyFill="1" applyBorder="1" applyAlignment="1">
      <alignment wrapText="1"/>
    </xf>
    <xf numFmtId="1" fontId="6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9" fillId="0" borderId="0" xfId="1" applyFont="1" applyFill="1" applyBorder="1" applyAlignment="1">
      <alignment horizontal="left" wrapText="1"/>
    </xf>
    <xf numFmtId="49" fontId="6" fillId="0" borderId="0" xfId="3" applyNumberFormat="1" applyFont="1" applyFill="1" applyBorder="1" applyAlignment="1">
      <alignment horizontal="center"/>
    </xf>
    <xf numFmtId="1" fontId="9" fillId="0" borderId="0" xfId="2" applyNumberFormat="1" applyFont="1" applyFill="1" applyBorder="1" applyAlignment="1">
      <alignment horizontal="left" wrapText="1"/>
    </xf>
    <xf numFmtId="0" fontId="9" fillId="0" borderId="0" xfId="1" applyFont="1" applyFill="1" applyAlignment="1">
      <alignment wrapText="1"/>
    </xf>
    <xf numFmtId="0" fontId="6" fillId="0" borderId="0" xfId="5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5" applyNumberFormat="1" applyFont="1" applyFill="1" applyAlignment="1">
      <alignment wrapText="1"/>
    </xf>
    <xf numFmtId="49" fontId="6" fillId="0" borderId="0" xfId="5" applyNumberFormat="1" applyFont="1" applyFill="1" applyBorder="1" applyAlignment="1">
      <alignment horizontal="center"/>
    </xf>
    <xf numFmtId="0" fontId="6" fillId="0" borderId="0" xfId="5" applyFont="1" applyFill="1" applyAlignment="1">
      <alignment horizontal="center"/>
    </xf>
    <xf numFmtId="0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6" fillId="0" borderId="0" xfId="2" applyFont="1" applyFill="1" applyBorder="1" applyAlignment="1">
      <alignment horizontal="left" wrapText="1"/>
    </xf>
    <xf numFmtId="49" fontId="16" fillId="0" borderId="0" xfId="2" applyNumberFormat="1" applyFont="1" applyFill="1" applyBorder="1" applyAlignment="1">
      <alignment horizontal="center"/>
    </xf>
    <xf numFmtId="1" fontId="6" fillId="0" borderId="0" xfId="2" applyNumberFormat="1" applyFont="1" applyFill="1" applyBorder="1" applyAlignment="1">
      <alignment horizontal="left" wrapText="1"/>
    </xf>
    <xf numFmtId="0" fontId="6" fillId="0" borderId="0" xfId="5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0" fontId="6" fillId="0" borderId="0" xfId="5" applyFont="1" applyFill="1" applyBorder="1" applyAlignment="1">
      <alignment horizontal="left" wrapText="1"/>
    </xf>
    <xf numFmtId="164" fontId="9" fillId="0" borderId="0" xfId="2" applyNumberFormat="1" applyFont="1" applyFill="1" applyAlignment="1"/>
    <xf numFmtId="164" fontId="6" fillId="0" borderId="0" xfId="2" applyNumberFormat="1" applyFont="1" applyFill="1" applyAlignment="1"/>
    <xf numFmtId="4" fontId="6" fillId="0" borderId="0" xfId="4" applyNumberFormat="1" applyFont="1" applyFill="1" applyBorder="1" applyAlignment="1">
      <alignment wrapText="1"/>
    </xf>
    <xf numFmtId="0" fontId="6" fillId="0" borderId="0" xfId="4" applyFont="1" applyFill="1" applyBorder="1" applyAlignment="1">
      <alignment horizontal="center"/>
    </xf>
    <xf numFmtId="49" fontId="6" fillId="0" borderId="0" xfId="4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/>
    <xf numFmtId="0" fontId="6" fillId="0" borderId="0" xfId="4" applyFont="1" applyFill="1" applyBorder="1" applyAlignment="1">
      <alignment horizontal="left" wrapText="1"/>
    </xf>
    <xf numFmtId="1" fontId="6" fillId="0" borderId="0" xfId="4" applyNumberFormat="1" applyFont="1" applyFill="1" applyBorder="1" applyAlignment="1">
      <alignment horizontal="left" wrapText="1"/>
    </xf>
    <xf numFmtId="164" fontId="9" fillId="0" borderId="0" xfId="2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center" wrapText="1"/>
    </xf>
    <xf numFmtId="0" fontId="6" fillId="0" borderId="0" xfId="4" applyFont="1" applyFill="1" applyBorder="1" applyAlignment="1">
      <alignment wrapText="1"/>
    </xf>
    <xf numFmtId="4" fontId="6" fillId="0" borderId="0" xfId="5" applyNumberFormat="1" applyFont="1" applyFill="1" applyBorder="1" applyAlignment="1">
      <alignment wrapText="1"/>
    </xf>
    <xf numFmtId="164" fontId="6" fillId="0" borderId="0" xfId="2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 wrapText="1"/>
    </xf>
    <xf numFmtId="0" fontId="6" fillId="0" borderId="0" xfId="1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 wrapText="1"/>
    </xf>
    <xf numFmtId="49" fontId="9" fillId="0" borderId="0" xfId="1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justify" vertical="top" wrapText="1"/>
    </xf>
    <xf numFmtId="49" fontId="6" fillId="0" borderId="0" xfId="2" applyNumberFormat="1" applyFont="1" applyFill="1" applyBorder="1" applyAlignment="1">
      <alignment horizontal="center" wrapText="1"/>
    </xf>
    <xf numFmtId="0" fontId="9" fillId="0" borderId="0" xfId="2" applyFont="1" applyFill="1" applyBorder="1" applyAlignment="1">
      <alignment wrapText="1"/>
    </xf>
    <xf numFmtId="0" fontId="6" fillId="0" borderId="0" xfId="1" applyFont="1" applyFill="1" applyBorder="1" applyAlignment="1">
      <alignment vertical="top" wrapText="1"/>
    </xf>
    <xf numFmtId="1" fontId="6" fillId="0" borderId="0" xfId="1" applyNumberFormat="1" applyFont="1" applyFill="1" applyBorder="1" applyAlignment="1">
      <alignment vertical="top" wrapText="1"/>
    </xf>
    <xf numFmtId="0" fontId="6" fillId="0" borderId="0" xfId="1" applyFont="1" applyFill="1" applyAlignment="1">
      <alignment vertical="top" wrapText="1"/>
    </xf>
    <xf numFmtId="49" fontId="6" fillId="0" borderId="0" xfId="5" applyNumberFormat="1" applyFont="1" applyFill="1" applyAlignment="1">
      <alignment horizontal="center"/>
    </xf>
    <xf numFmtId="0" fontId="6" fillId="0" borderId="0" xfId="8" applyFont="1" applyFill="1" applyAlignment="1">
      <alignment vertical="top" wrapText="1"/>
    </xf>
    <xf numFmtId="0" fontId="6" fillId="0" borderId="0" xfId="5" applyFont="1" applyFill="1" applyAlignment="1">
      <alignment vertical="top" wrapText="1"/>
    </xf>
    <xf numFmtId="0" fontId="6" fillId="0" borderId="0" xfId="8" applyFont="1" applyFill="1" applyAlignment="1">
      <alignment horizontal="left" wrapText="1"/>
    </xf>
    <xf numFmtId="0" fontId="6" fillId="0" borderId="0" xfId="2" applyNumberFormat="1" applyFont="1" applyFill="1" applyAlignment="1">
      <alignment vertical="top" wrapText="1"/>
    </xf>
    <xf numFmtId="0" fontId="6" fillId="0" borderId="0" xfId="2" applyNumberFormat="1" applyFont="1" applyFill="1" applyAlignment="1">
      <alignment wrapText="1"/>
    </xf>
    <xf numFmtId="164" fontId="6" fillId="0" borderId="0" xfId="8" applyNumberFormat="1" applyFont="1" applyFill="1" applyAlignment="1"/>
    <xf numFmtId="0" fontId="16" fillId="0" borderId="0" xfId="0" applyFont="1" applyFill="1" applyAlignment="1">
      <alignment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justify"/>
    </xf>
    <xf numFmtId="1" fontId="6" fillId="0" borderId="0" xfId="2" applyNumberFormat="1" applyFont="1" applyFill="1" applyBorder="1" applyAlignment="1">
      <alignment wrapText="1"/>
    </xf>
    <xf numFmtId="1" fontId="6" fillId="0" borderId="0" xfId="5" applyNumberFormat="1" applyFont="1" applyFill="1" applyBorder="1" applyAlignment="1">
      <alignment vertical="top" wrapText="1"/>
    </xf>
    <xf numFmtId="0" fontId="9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left" wrapText="1"/>
    </xf>
    <xf numFmtId="0" fontId="7" fillId="0" borderId="0" xfId="2" applyFont="1" applyFill="1" applyAlignment="1">
      <alignment horizontal="right" wrapText="1"/>
    </xf>
    <xf numFmtId="0" fontId="7" fillId="0" borderId="0" xfId="2" applyFont="1" applyFill="1" applyAlignment="1">
      <alignment horizontal="right"/>
    </xf>
  </cellXfs>
  <cellStyles count="9">
    <cellStyle name="Обычный" xfId="0" builtinId="0"/>
    <cellStyle name="Обычный 2" xfId="4"/>
    <cellStyle name="Обычный 3" xfId="1"/>
    <cellStyle name="Обычный 3 2" xfId="7"/>
    <cellStyle name="Обычный 4" xfId="2"/>
    <cellStyle name="Обычный 5" xfId="5"/>
    <cellStyle name="Обычный 6" xfId="8"/>
    <cellStyle name="Обычный_ноябрь 2003" xf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9"/>
  <sheetViews>
    <sheetView tabSelected="1" zoomScale="90" zoomScaleNormal="90" workbookViewId="0">
      <selection activeCell="I6" sqref="I6"/>
    </sheetView>
  </sheetViews>
  <sheetFormatPr defaultColWidth="9.140625" defaultRowHeight="15" x14ac:dyDescent="0.25"/>
  <cols>
    <col min="1" max="1" width="69.28515625" style="50" customWidth="1"/>
    <col min="2" max="2" width="7.28515625" style="18" customWidth="1"/>
    <col min="3" max="3" width="14.7109375" style="51" customWidth="1"/>
    <col min="4" max="4" width="6.140625" style="52" customWidth="1"/>
    <col min="5" max="5" width="12.5703125" style="18" customWidth="1"/>
    <col min="6" max="6" width="13" style="18" customWidth="1"/>
    <col min="7" max="7" width="12.28515625" style="18" customWidth="1"/>
    <col min="8" max="16384" width="9.140625" style="18"/>
  </cols>
  <sheetData>
    <row r="1" spans="1:7" s="4" customFormat="1" ht="12.75" x14ac:dyDescent="0.2">
      <c r="A1" s="2"/>
      <c r="B1" s="3"/>
      <c r="C1" s="145" t="s">
        <v>623</v>
      </c>
      <c r="D1" s="145"/>
      <c r="E1" s="145"/>
      <c r="F1" s="145"/>
      <c r="G1" s="145"/>
    </row>
    <row r="2" spans="1:7" s="4" customFormat="1" ht="12.75" x14ac:dyDescent="0.2">
      <c r="A2" s="2"/>
      <c r="B2" s="3"/>
      <c r="C2" s="145" t="s">
        <v>0</v>
      </c>
      <c r="D2" s="145"/>
      <c r="E2" s="145"/>
      <c r="F2" s="145"/>
      <c r="G2" s="145"/>
    </row>
    <row r="3" spans="1:7" s="4" customFormat="1" ht="12.75" x14ac:dyDescent="0.2">
      <c r="A3" s="2"/>
      <c r="B3" s="3"/>
      <c r="C3" s="145" t="s">
        <v>1</v>
      </c>
      <c r="D3" s="145"/>
      <c r="E3" s="145"/>
      <c r="F3" s="145"/>
      <c r="G3" s="145"/>
    </row>
    <row r="4" spans="1:7" s="4" customFormat="1" ht="12.75" x14ac:dyDescent="0.2">
      <c r="A4" s="2"/>
      <c r="B4" s="3"/>
      <c r="C4" s="145"/>
      <c r="D4" s="145"/>
      <c r="E4" s="145"/>
      <c r="F4" s="146" t="s">
        <v>631</v>
      </c>
      <c r="G4" s="146"/>
    </row>
    <row r="5" spans="1:7" s="4" customFormat="1" ht="12.75" x14ac:dyDescent="0.2">
      <c r="A5" s="2"/>
      <c r="B5" s="3"/>
      <c r="C5" s="144"/>
      <c r="D5" s="144"/>
      <c r="E5" s="144"/>
    </row>
    <row r="6" spans="1:7" s="4" customFormat="1" ht="50.25" customHeight="1" x14ac:dyDescent="0.2">
      <c r="A6" s="143" t="s">
        <v>486</v>
      </c>
      <c r="B6" s="143"/>
      <c r="C6" s="143"/>
      <c r="D6" s="143"/>
      <c r="E6" s="143"/>
      <c r="F6" s="143"/>
      <c r="G6" s="143"/>
    </row>
    <row r="7" spans="1:7" s="4" customFormat="1" ht="12.75" x14ac:dyDescent="0.2">
      <c r="A7" s="2"/>
      <c r="B7" s="3"/>
      <c r="G7" s="53" t="s">
        <v>420</v>
      </c>
    </row>
    <row r="8" spans="1:7" s="4" customFormat="1" x14ac:dyDescent="0.2">
      <c r="A8" s="5" t="s">
        <v>2</v>
      </c>
      <c r="B8" s="6" t="s">
        <v>3</v>
      </c>
      <c r="C8" s="6" t="s">
        <v>4</v>
      </c>
      <c r="D8" s="7" t="s">
        <v>5</v>
      </c>
      <c r="E8" s="8">
        <v>2019</v>
      </c>
      <c r="F8" s="8">
        <v>2020</v>
      </c>
      <c r="G8" s="8">
        <v>2021</v>
      </c>
    </row>
    <row r="9" spans="1:7" s="13" customFormat="1" x14ac:dyDescent="0.25">
      <c r="A9" s="9" t="s">
        <v>6</v>
      </c>
      <c r="B9" s="10" t="s">
        <v>7</v>
      </c>
      <c r="C9" s="58"/>
      <c r="D9" s="11"/>
      <c r="E9" s="12">
        <f>E10+E14+E28+E49+E60+E64+E55+E44</f>
        <v>600726.30000000005</v>
      </c>
      <c r="F9" s="12">
        <f t="shared" ref="F9:G9" si="0">F10+F14+F28+F49+F60+F64+F55+F44</f>
        <v>492508.6</v>
      </c>
      <c r="G9" s="12">
        <f t="shared" si="0"/>
        <v>510311.39999999997</v>
      </c>
    </row>
    <row r="10" spans="1:7" s="13" customFormat="1" ht="29.25" x14ac:dyDescent="0.25">
      <c r="A10" s="9" t="s">
        <v>36</v>
      </c>
      <c r="B10" s="10" t="s">
        <v>37</v>
      </c>
      <c r="C10" s="14"/>
      <c r="D10" s="11"/>
      <c r="E10" s="12">
        <f>E11</f>
        <v>2298.3000000000002</v>
      </c>
      <c r="F10" s="12">
        <f t="shared" ref="F10:G12" si="1">F11</f>
        <v>2320.1999999999998</v>
      </c>
      <c r="G10" s="12">
        <f t="shared" si="1"/>
        <v>2409.5</v>
      </c>
    </row>
    <row r="11" spans="1:7" x14ac:dyDescent="0.25">
      <c r="A11" s="1" t="s">
        <v>10</v>
      </c>
      <c r="B11" s="15" t="s">
        <v>37</v>
      </c>
      <c r="C11" s="16" t="s">
        <v>11</v>
      </c>
      <c r="D11" s="17"/>
      <c r="E11" s="59">
        <f>E12</f>
        <v>2298.3000000000002</v>
      </c>
      <c r="F11" s="59">
        <f t="shared" si="1"/>
        <v>2320.1999999999998</v>
      </c>
      <c r="G11" s="59">
        <f t="shared" si="1"/>
        <v>2409.5</v>
      </c>
    </row>
    <row r="12" spans="1:7" x14ac:dyDescent="0.25">
      <c r="A12" s="1" t="s">
        <v>38</v>
      </c>
      <c r="B12" s="15" t="s">
        <v>37</v>
      </c>
      <c r="C12" s="16" t="s">
        <v>39</v>
      </c>
      <c r="D12" s="17"/>
      <c r="E12" s="59">
        <f>E13</f>
        <v>2298.3000000000002</v>
      </c>
      <c r="F12" s="59">
        <f t="shared" si="1"/>
        <v>2320.1999999999998</v>
      </c>
      <c r="G12" s="59">
        <f t="shared" si="1"/>
        <v>2409.5</v>
      </c>
    </row>
    <row r="13" spans="1:7" ht="60" x14ac:dyDescent="0.25">
      <c r="A13" s="1" t="s">
        <v>14</v>
      </c>
      <c r="B13" s="15" t="s">
        <v>37</v>
      </c>
      <c r="C13" s="16" t="s">
        <v>39</v>
      </c>
      <c r="D13" s="17">
        <v>100</v>
      </c>
      <c r="E13" s="60">
        <v>2298.3000000000002</v>
      </c>
      <c r="F13" s="60">
        <v>2320.1999999999998</v>
      </c>
      <c r="G13" s="20">
        <v>2409.5</v>
      </c>
    </row>
    <row r="14" spans="1:7" s="13" customFormat="1" ht="43.5" x14ac:dyDescent="0.25">
      <c r="A14" s="9" t="s">
        <v>8</v>
      </c>
      <c r="B14" s="10" t="s">
        <v>9</v>
      </c>
      <c r="C14" s="11"/>
      <c r="D14" s="12"/>
      <c r="E14" s="12">
        <f>E15</f>
        <v>32640.6</v>
      </c>
      <c r="F14" s="12">
        <f>F15</f>
        <v>32454.400000000001</v>
      </c>
      <c r="G14" s="12">
        <f>G15</f>
        <v>32291.599999999999</v>
      </c>
    </row>
    <row r="15" spans="1:7" s="13" customFormat="1" x14ac:dyDescent="0.25">
      <c r="A15" s="1" t="s">
        <v>10</v>
      </c>
      <c r="B15" s="15" t="s">
        <v>9</v>
      </c>
      <c r="C15" s="16" t="s">
        <v>11</v>
      </c>
      <c r="D15" s="17"/>
      <c r="E15" s="59">
        <f>SUM(E16++E18+E20+E22+++E26)</f>
        <v>32640.6</v>
      </c>
      <c r="F15" s="59">
        <f>SUM(F16++F18+F20+F22+++F26)</f>
        <v>32454.400000000001</v>
      </c>
      <c r="G15" s="59">
        <f>SUM(G16++G18+G20+G22+++G26)</f>
        <v>32291.599999999999</v>
      </c>
    </row>
    <row r="16" spans="1:7" s="13" customFormat="1" ht="18.75" customHeight="1" x14ac:dyDescent="0.25">
      <c r="A16" s="1" t="s">
        <v>12</v>
      </c>
      <c r="B16" s="15" t="s">
        <v>9</v>
      </c>
      <c r="C16" s="16" t="s">
        <v>13</v>
      </c>
      <c r="D16" s="17"/>
      <c r="E16" s="59">
        <f>E17</f>
        <v>2264.5</v>
      </c>
      <c r="F16" s="59">
        <f>F17</f>
        <v>2286</v>
      </c>
      <c r="G16" s="59">
        <f>G17</f>
        <v>2374.1999999999998</v>
      </c>
    </row>
    <row r="17" spans="1:7" s="13" customFormat="1" ht="60" x14ac:dyDescent="0.25">
      <c r="A17" s="1" t="s">
        <v>14</v>
      </c>
      <c r="B17" s="15" t="s">
        <v>9</v>
      </c>
      <c r="C17" s="16" t="s">
        <v>13</v>
      </c>
      <c r="D17" s="17">
        <v>100</v>
      </c>
      <c r="E17" s="60">
        <v>2264.5</v>
      </c>
      <c r="F17" s="60">
        <v>2286</v>
      </c>
      <c r="G17" s="20">
        <v>2374.1999999999998</v>
      </c>
    </row>
    <row r="18" spans="1:7" s="13" customFormat="1" ht="30" x14ac:dyDescent="0.25">
      <c r="A18" s="1" t="s">
        <v>15</v>
      </c>
      <c r="B18" s="15" t="s">
        <v>9</v>
      </c>
      <c r="C18" s="16" t="s">
        <v>16</v>
      </c>
      <c r="D18" s="17"/>
      <c r="E18" s="59">
        <f>E19</f>
        <v>2073.1999999999998</v>
      </c>
      <c r="F18" s="59">
        <f>F19</f>
        <v>2092.9</v>
      </c>
      <c r="G18" s="59">
        <f>G19</f>
        <v>2173.6</v>
      </c>
    </row>
    <row r="19" spans="1:7" s="13" customFormat="1" ht="60" x14ac:dyDescent="0.25">
      <c r="A19" s="1" t="s">
        <v>14</v>
      </c>
      <c r="B19" s="15" t="s">
        <v>9</v>
      </c>
      <c r="C19" s="16" t="s">
        <v>16</v>
      </c>
      <c r="D19" s="17">
        <v>100</v>
      </c>
      <c r="E19" s="60">
        <v>2073.1999999999998</v>
      </c>
      <c r="F19" s="60">
        <v>2092.9</v>
      </c>
      <c r="G19" s="20">
        <v>2173.6</v>
      </c>
    </row>
    <row r="20" spans="1:7" s="13" customFormat="1" x14ac:dyDescent="0.25">
      <c r="A20" s="1" t="s">
        <v>17</v>
      </c>
      <c r="B20" s="15" t="s">
        <v>9</v>
      </c>
      <c r="C20" s="16" t="s">
        <v>18</v>
      </c>
      <c r="D20" s="17"/>
      <c r="E20" s="59">
        <f>E21</f>
        <v>1927.5</v>
      </c>
      <c r="F20" s="59">
        <f>F21</f>
        <v>1945.8</v>
      </c>
      <c r="G20" s="59">
        <f>G21</f>
        <v>2020.9</v>
      </c>
    </row>
    <row r="21" spans="1:7" s="13" customFormat="1" ht="60" x14ac:dyDescent="0.25">
      <c r="A21" s="1" t="s">
        <v>14</v>
      </c>
      <c r="B21" s="15" t="s">
        <v>9</v>
      </c>
      <c r="C21" s="16" t="s">
        <v>18</v>
      </c>
      <c r="D21" s="17">
        <v>100</v>
      </c>
      <c r="E21" s="60">
        <v>1927.5</v>
      </c>
      <c r="F21" s="60">
        <v>1945.8</v>
      </c>
      <c r="G21" s="20">
        <v>2020.9</v>
      </c>
    </row>
    <row r="22" spans="1:7" s="13" customFormat="1" x14ac:dyDescent="0.25">
      <c r="A22" s="61" t="s">
        <v>19</v>
      </c>
      <c r="B22" s="15" t="s">
        <v>9</v>
      </c>
      <c r="C22" s="16" t="s">
        <v>20</v>
      </c>
      <c r="D22" s="17"/>
      <c r="E22" s="59">
        <f>SUM(E23:E25)</f>
        <v>15876.1</v>
      </c>
      <c r="F22" s="59">
        <f>SUM(F23:F25)</f>
        <v>15630.400000000001</v>
      </c>
      <c r="G22" s="59">
        <f>SUM(G23:G25)</f>
        <v>15223.6</v>
      </c>
    </row>
    <row r="23" spans="1:7" s="13" customFormat="1" ht="60" x14ac:dyDescent="0.25">
      <c r="A23" s="1" t="s">
        <v>14</v>
      </c>
      <c r="B23" s="15" t="s">
        <v>9</v>
      </c>
      <c r="C23" s="16" t="s">
        <v>20</v>
      </c>
      <c r="D23" s="17">
        <v>100</v>
      </c>
      <c r="E23" s="60">
        <v>13219.5</v>
      </c>
      <c r="F23" s="60">
        <v>13344.2</v>
      </c>
      <c r="G23" s="20">
        <v>13859.2</v>
      </c>
    </row>
    <row r="24" spans="1:7" s="13" customFormat="1" ht="30" x14ac:dyDescent="0.25">
      <c r="A24" s="1" t="s">
        <v>21</v>
      </c>
      <c r="B24" s="15" t="s">
        <v>9</v>
      </c>
      <c r="C24" s="16" t="s">
        <v>20</v>
      </c>
      <c r="D24" s="17">
        <v>200</v>
      </c>
      <c r="E24" s="60">
        <f>1784.3+868.3</f>
        <v>2652.6</v>
      </c>
      <c r="F24" s="60">
        <v>2282.1999999999998</v>
      </c>
      <c r="G24" s="20">
        <v>1360.4</v>
      </c>
    </row>
    <row r="25" spans="1:7" s="13" customFormat="1" x14ac:dyDescent="0.25">
      <c r="A25" s="61" t="s">
        <v>22</v>
      </c>
      <c r="B25" s="15" t="s">
        <v>9</v>
      </c>
      <c r="C25" s="16" t="s">
        <v>20</v>
      </c>
      <c r="D25" s="17">
        <v>800</v>
      </c>
      <c r="E25" s="60">
        <v>4</v>
      </c>
      <c r="F25" s="60">
        <v>4</v>
      </c>
      <c r="G25" s="20">
        <v>4</v>
      </c>
    </row>
    <row r="26" spans="1:7" s="13" customFormat="1" x14ac:dyDescent="0.25">
      <c r="A26" s="1" t="s">
        <v>23</v>
      </c>
      <c r="B26" s="15" t="s">
        <v>9</v>
      </c>
      <c r="C26" s="16" t="s">
        <v>24</v>
      </c>
      <c r="D26" s="17"/>
      <c r="E26" s="59">
        <f>E27</f>
        <v>10499.3</v>
      </c>
      <c r="F26" s="59">
        <f>F27</f>
        <v>10499.3</v>
      </c>
      <c r="G26" s="59">
        <f>G27</f>
        <v>10499.3</v>
      </c>
    </row>
    <row r="27" spans="1:7" ht="60" x14ac:dyDescent="0.25">
      <c r="A27" s="1" t="s">
        <v>14</v>
      </c>
      <c r="B27" s="15" t="s">
        <v>9</v>
      </c>
      <c r="C27" s="16" t="s">
        <v>24</v>
      </c>
      <c r="D27" s="17">
        <v>100</v>
      </c>
      <c r="E27" s="60">
        <v>10499.3</v>
      </c>
      <c r="F27" s="60">
        <v>10499.3</v>
      </c>
      <c r="G27" s="20">
        <v>10499.3</v>
      </c>
    </row>
    <row r="28" spans="1:7" s="13" customFormat="1" ht="43.5" x14ac:dyDescent="0.25">
      <c r="A28" s="9" t="s">
        <v>40</v>
      </c>
      <c r="B28" s="10" t="s">
        <v>41</v>
      </c>
      <c r="C28" s="14"/>
      <c r="D28" s="11"/>
      <c r="E28" s="12">
        <f>E29</f>
        <v>189599.69999999998</v>
      </c>
      <c r="F28" s="12">
        <f>F29</f>
        <v>190552.6</v>
      </c>
      <c r="G28" s="12">
        <f>G29</f>
        <v>191283.9</v>
      </c>
    </row>
    <row r="29" spans="1:7" x14ac:dyDescent="0.25">
      <c r="A29" s="1" t="s">
        <v>10</v>
      </c>
      <c r="B29" s="15" t="s">
        <v>41</v>
      </c>
      <c r="C29" s="16" t="s">
        <v>11</v>
      </c>
      <c r="D29" s="17"/>
      <c r="E29" s="59">
        <f>E30+E34</f>
        <v>189599.69999999998</v>
      </c>
      <c r="F29" s="59">
        <f>F30+F34</f>
        <v>190552.6</v>
      </c>
      <c r="G29" s="59">
        <f>G30+G34</f>
        <v>191283.9</v>
      </c>
    </row>
    <row r="30" spans="1:7" ht="30" x14ac:dyDescent="0.25">
      <c r="A30" s="62" t="s">
        <v>42</v>
      </c>
      <c r="B30" s="15" t="s">
        <v>41</v>
      </c>
      <c r="C30" s="16" t="s">
        <v>43</v>
      </c>
      <c r="D30" s="17"/>
      <c r="E30" s="59">
        <f>SUM(E31:E33)</f>
        <v>184018.19999999998</v>
      </c>
      <c r="F30" s="59">
        <f>SUM(F31:F33)</f>
        <v>184755.7</v>
      </c>
      <c r="G30" s="59">
        <f>SUM(G31:G33)</f>
        <v>185280.1</v>
      </c>
    </row>
    <row r="31" spans="1:7" ht="60" x14ac:dyDescent="0.25">
      <c r="A31" s="1" t="s">
        <v>14</v>
      </c>
      <c r="B31" s="15" t="s">
        <v>41</v>
      </c>
      <c r="C31" s="16" t="s">
        <v>43</v>
      </c>
      <c r="D31" s="17">
        <v>100</v>
      </c>
      <c r="E31" s="60">
        <f>167982.8+1735</f>
        <v>169717.8</v>
      </c>
      <c r="F31" s="60">
        <v>169559</v>
      </c>
      <c r="G31" s="20">
        <v>176009.9</v>
      </c>
    </row>
    <row r="32" spans="1:7" ht="30" x14ac:dyDescent="0.25">
      <c r="A32" s="1" t="s">
        <v>21</v>
      </c>
      <c r="B32" s="15" t="s">
        <v>41</v>
      </c>
      <c r="C32" s="16" t="s">
        <v>43</v>
      </c>
      <c r="D32" s="17">
        <v>200</v>
      </c>
      <c r="E32" s="60">
        <f>10005.8+5583-2715.8-321.2</f>
        <v>12551.8</v>
      </c>
      <c r="F32" s="60">
        <v>13208.1</v>
      </c>
      <c r="G32" s="20">
        <v>7281.6</v>
      </c>
    </row>
    <row r="33" spans="1:7" x14ac:dyDescent="0.25">
      <c r="A33" s="61" t="s">
        <v>22</v>
      </c>
      <c r="B33" s="15" t="s">
        <v>41</v>
      </c>
      <c r="C33" s="16" t="s">
        <v>43</v>
      </c>
      <c r="D33" s="17">
        <v>800</v>
      </c>
      <c r="E33" s="60">
        <f>1988.6-240</f>
        <v>1748.6</v>
      </c>
      <c r="F33" s="60">
        <v>1988.6</v>
      </c>
      <c r="G33" s="20">
        <v>1988.6</v>
      </c>
    </row>
    <row r="34" spans="1:7" x14ac:dyDescent="0.25">
      <c r="A34" s="61" t="s">
        <v>44</v>
      </c>
      <c r="B34" s="19" t="s">
        <v>41</v>
      </c>
      <c r="C34" s="19" t="s">
        <v>45</v>
      </c>
      <c r="D34" s="15"/>
      <c r="E34" s="59">
        <f>E35+E38+E41</f>
        <v>5581.5</v>
      </c>
      <c r="F34" s="59">
        <f>F35+F38+F41</f>
        <v>5796.9</v>
      </c>
      <c r="G34" s="59">
        <f>G35+G38+G41</f>
        <v>6003.8</v>
      </c>
    </row>
    <row r="35" spans="1:7" ht="62.25" customHeight="1" x14ac:dyDescent="0.25">
      <c r="A35" s="63" t="s">
        <v>487</v>
      </c>
      <c r="B35" s="15" t="s">
        <v>41</v>
      </c>
      <c r="C35" s="64" t="s">
        <v>50</v>
      </c>
      <c r="D35" s="65"/>
      <c r="E35" s="59">
        <f>SUM(E36:E37)</f>
        <v>1664.6</v>
      </c>
      <c r="F35" s="59">
        <f>SUM(F36:F37)</f>
        <v>1729.1999999999998</v>
      </c>
      <c r="G35" s="59">
        <f>SUM(G36:G37)</f>
        <v>1791.1999999999998</v>
      </c>
    </row>
    <row r="36" spans="1:7" ht="60" x14ac:dyDescent="0.25">
      <c r="A36" s="1" t="s">
        <v>14</v>
      </c>
      <c r="B36" s="15" t="s">
        <v>41</v>
      </c>
      <c r="C36" s="64" t="s">
        <v>50</v>
      </c>
      <c r="D36" s="65">
        <v>100</v>
      </c>
      <c r="E36" s="20">
        <f>1464.1+58.5+13-48+71.4</f>
        <v>1559</v>
      </c>
      <c r="F36" s="20">
        <f>1464.1+58.5+62.6-48+66.8</f>
        <v>1603.9999999999998</v>
      </c>
      <c r="G36" s="20">
        <f>1509.1+13.5+110.2-48+81.3</f>
        <v>1666.1</v>
      </c>
    </row>
    <row r="37" spans="1:7" ht="30" x14ac:dyDescent="0.25">
      <c r="A37" s="1" t="s">
        <v>21</v>
      </c>
      <c r="B37" s="15" t="s">
        <v>41</v>
      </c>
      <c r="C37" s="64" t="s">
        <v>50</v>
      </c>
      <c r="D37" s="65">
        <v>200</v>
      </c>
      <c r="E37" s="20">
        <f>125.1+3.9+48-71.4</f>
        <v>105.6</v>
      </c>
      <c r="F37" s="20">
        <f>125.1+18.9+48-66.8</f>
        <v>125.2</v>
      </c>
      <c r="G37" s="20">
        <f>125.1-45+45+33.3+48-81.3</f>
        <v>125.09999999999998</v>
      </c>
    </row>
    <row r="38" spans="1:7" ht="135" x14ac:dyDescent="0.25">
      <c r="A38" s="66" t="s">
        <v>488</v>
      </c>
      <c r="B38" s="15" t="s">
        <v>41</v>
      </c>
      <c r="C38" s="16" t="s">
        <v>46</v>
      </c>
      <c r="D38" s="16"/>
      <c r="E38" s="59">
        <f>E39+E40</f>
        <v>2219.3999999999996</v>
      </c>
      <c r="F38" s="59">
        <f>F39+F40</f>
        <v>2305.6</v>
      </c>
      <c r="G38" s="59">
        <f>G39+G40</f>
        <v>2388.4</v>
      </c>
    </row>
    <row r="39" spans="1:7" ht="60" x14ac:dyDescent="0.25">
      <c r="A39" s="1" t="s">
        <v>14</v>
      </c>
      <c r="B39" s="15" t="s">
        <v>41</v>
      </c>
      <c r="C39" s="16" t="s">
        <v>46</v>
      </c>
      <c r="D39" s="16" t="s">
        <v>47</v>
      </c>
      <c r="E39" s="20">
        <f>1464.1+58.6+439+78.2-41.8+132.6</f>
        <v>2130.6999999999998</v>
      </c>
      <c r="F39" s="20">
        <f>1464.1+58.6+505.2-41.8+152.6</f>
        <v>2138.6999999999998</v>
      </c>
      <c r="G39" s="20">
        <f>1509.1+13.5+0.1+568.8-41.8+171.8</f>
        <v>2221.5</v>
      </c>
    </row>
    <row r="40" spans="1:7" ht="30" x14ac:dyDescent="0.25">
      <c r="A40" s="1" t="s">
        <v>21</v>
      </c>
      <c r="B40" s="15" t="s">
        <v>41</v>
      </c>
      <c r="C40" s="16" t="s">
        <v>46</v>
      </c>
      <c r="D40" s="16" t="s">
        <v>48</v>
      </c>
      <c r="E40" s="20">
        <f>125.1+132.6-78.2-90.8</f>
        <v>88.7</v>
      </c>
      <c r="F40" s="20">
        <f>125.1+152.6-110.8</f>
        <v>166.89999999999998</v>
      </c>
      <c r="G40" s="20">
        <f>125.1-45+45+171.8-130</f>
        <v>166.89999999999998</v>
      </c>
    </row>
    <row r="41" spans="1:7" ht="105" x14ac:dyDescent="0.25">
      <c r="A41" s="67" t="s">
        <v>489</v>
      </c>
      <c r="B41" s="15" t="s">
        <v>41</v>
      </c>
      <c r="C41" s="64" t="s">
        <v>49</v>
      </c>
      <c r="D41" s="65"/>
      <c r="E41" s="59">
        <f>E42+E43</f>
        <v>1697.5</v>
      </c>
      <c r="F41" s="59">
        <f>F42+F43</f>
        <v>1762.1</v>
      </c>
      <c r="G41" s="59">
        <f>G42+G43</f>
        <v>1824.1999999999998</v>
      </c>
    </row>
    <row r="42" spans="1:7" ht="60" x14ac:dyDescent="0.25">
      <c r="A42" s="1" t="s">
        <v>14</v>
      </c>
      <c r="B42" s="15" t="s">
        <v>41</v>
      </c>
      <c r="C42" s="64" t="s">
        <v>49</v>
      </c>
      <c r="D42" s="65">
        <v>100</v>
      </c>
      <c r="E42" s="20">
        <f>1464.1+58.5+12.9+3.9</f>
        <v>1539.4</v>
      </c>
      <c r="F42" s="20">
        <f>1464.1+58.5+62.5+18.9</f>
        <v>1604</v>
      </c>
      <c r="G42" s="20">
        <f>1509+13.6+110.2+33.3</f>
        <v>1666.1</v>
      </c>
    </row>
    <row r="43" spans="1:7" ht="30" x14ac:dyDescent="0.25">
      <c r="A43" s="1" t="s">
        <v>21</v>
      </c>
      <c r="B43" s="15" t="s">
        <v>41</v>
      </c>
      <c r="C43" s="64" t="s">
        <v>49</v>
      </c>
      <c r="D43" s="65">
        <v>200</v>
      </c>
      <c r="E43" s="20">
        <f>158.1+3.9+41.8-45.7</f>
        <v>158.10000000000002</v>
      </c>
      <c r="F43" s="20">
        <f>158.1+18.9+41.8-60.7</f>
        <v>158.10000000000002</v>
      </c>
      <c r="G43" s="20">
        <f>158.1-45+45+33.3+41.8-75.1</f>
        <v>158.1</v>
      </c>
    </row>
    <row r="44" spans="1:7" s="13" customFormat="1" x14ac:dyDescent="0.25">
      <c r="A44" s="68" t="s">
        <v>461</v>
      </c>
      <c r="B44" s="69" t="s">
        <v>463</v>
      </c>
      <c r="C44" s="70"/>
      <c r="D44" s="71"/>
      <c r="E44" s="55">
        <f t="shared" ref="E44:G45" si="2">E45</f>
        <v>74.900000000000006</v>
      </c>
      <c r="F44" s="55">
        <f t="shared" si="2"/>
        <v>79</v>
      </c>
      <c r="G44" s="55">
        <f t="shared" si="2"/>
        <v>83.699999999999989</v>
      </c>
    </row>
    <row r="45" spans="1:7" x14ac:dyDescent="0.25">
      <c r="A45" s="72" t="s">
        <v>44</v>
      </c>
      <c r="B45" s="73" t="s">
        <v>463</v>
      </c>
      <c r="C45" s="73" t="s">
        <v>45</v>
      </c>
      <c r="D45" s="65"/>
      <c r="E45" s="20">
        <f t="shared" si="2"/>
        <v>74.900000000000006</v>
      </c>
      <c r="F45" s="20">
        <f t="shared" si="2"/>
        <v>79</v>
      </c>
      <c r="G45" s="20">
        <f t="shared" si="2"/>
        <v>83.699999999999989</v>
      </c>
    </row>
    <row r="46" spans="1:7" ht="108" customHeight="1" x14ac:dyDescent="0.25">
      <c r="A46" s="74" t="s">
        <v>490</v>
      </c>
      <c r="B46" s="73" t="s">
        <v>463</v>
      </c>
      <c r="C46" s="75" t="s">
        <v>464</v>
      </c>
      <c r="D46" s="65"/>
      <c r="E46" s="20">
        <f>E47+E48</f>
        <v>74.900000000000006</v>
      </c>
      <c r="F46" s="20">
        <f>F47+F48</f>
        <v>79</v>
      </c>
      <c r="G46" s="20">
        <f>G47+G48</f>
        <v>83.699999999999989</v>
      </c>
    </row>
    <row r="47" spans="1:7" ht="30" hidden="1" x14ac:dyDescent="0.25">
      <c r="A47" s="66" t="s">
        <v>21</v>
      </c>
      <c r="B47" s="73" t="s">
        <v>463</v>
      </c>
      <c r="C47" s="75" t="s">
        <v>464</v>
      </c>
      <c r="D47" s="65">
        <v>200</v>
      </c>
      <c r="E47" s="20">
        <v>0</v>
      </c>
      <c r="F47" s="20">
        <v>0</v>
      </c>
      <c r="G47" s="20">
        <v>0</v>
      </c>
    </row>
    <row r="48" spans="1:7" ht="30" x14ac:dyDescent="0.25">
      <c r="A48" s="76" t="s">
        <v>462</v>
      </c>
      <c r="B48" s="73" t="s">
        <v>463</v>
      </c>
      <c r="C48" s="75" t="s">
        <v>464</v>
      </c>
      <c r="D48" s="65">
        <v>600</v>
      </c>
      <c r="E48" s="60">
        <f>64+10.9</f>
        <v>74.900000000000006</v>
      </c>
      <c r="F48" s="60">
        <f>103.3-24.3</f>
        <v>79</v>
      </c>
      <c r="G48" s="20">
        <f>103.3-19.6</f>
        <v>83.699999999999989</v>
      </c>
    </row>
    <row r="49" spans="1:7" s="13" customFormat="1" ht="36.75" customHeight="1" x14ac:dyDescent="0.25">
      <c r="A49" s="9" t="s">
        <v>223</v>
      </c>
      <c r="B49" s="10" t="s">
        <v>224</v>
      </c>
      <c r="C49" s="14"/>
      <c r="D49" s="11"/>
      <c r="E49" s="12">
        <f t="shared" ref="E49:G50" si="3">SUM(E50)</f>
        <v>48690.2</v>
      </c>
      <c r="F49" s="12">
        <f t="shared" si="3"/>
        <v>47054.700000000004</v>
      </c>
      <c r="G49" s="12">
        <f t="shared" si="3"/>
        <v>47136.5</v>
      </c>
    </row>
    <row r="50" spans="1:7" x14ac:dyDescent="0.25">
      <c r="A50" s="1" t="s">
        <v>10</v>
      </c>
      <c r="B50" s="15" t="s">
        <v>224</v>
      </c>
      <c r="C50" s="16" t="s">
        <v>11</v>
      </c>
      <c r="D50" s="17"/>
      <c r="E50" s="59">
        <f t="shared" si="3"/>
        <v>48690.2</v>
      </c>
      <c r="F50" s="59">
        <f t="shared" si="3"/>
        <v>47054.700000000004</v>
      </c>
      <c r="G50" s="59">
        <f t="shared" si="3"/>
        <v>47136.5</v>
      </c>
    </row>
    <row r="51" spans="1:7" ht="30" x14ac:dyDescent="0.25">
      <c r="A51" s="62" t="s">
        <v>42</v>
      </c>
      <c r="B51" s="15" t="s">
        <v>224</v>
      </c>
      <c r="C51" s="16" t="s">
        <v>43</v>
      </c>
      <c r="D51" s="17"/>
      <c r="E51" s="59">
        <f>SUM(E52:E54)</f>
        <v>48690.2</v>
      </c>
      <c r="F51" s="59">
        <f>SUM(F52:F54)</f>
        <v>47054.700000000004</v>
      </c>
      <c r="G51" s="59">
        <f>SUM(G52:G54)</f>
        <v>47136.5</v>
      </c>
    </row>
    <row r="52" spans="1:7" ht="60" x14ac:dyDescent="0.25">
      <c r="A52" s="1" t="s">
        <v>14</v>
      </c>
      <c r="B52" s="15" t="s">
        <v>224</v>
      </c>
      <c r="C52" s="16" t="s">
        <v>43</v>
      </c>
      <c r="D52" s="17">
        <v>100</v>
      </c>
      <c r="E52" s="20">
        <f>42512+136.9+25.5+381.4+1001.1+66.6</f>
        <v>44123.5</v>
      </c>
      <c r="F52" s="20">
        <v>42915.8</v>
      </c>
      <c r="G52" s="20">
        <v>44568.6</v>
      </c>
    </row>
    <row r="53" spans="1:7" s="13" customFormat="1" ht="30" x14ac:dyDescent="0.25">
      <c r="A53" s="1" t="s">
        <v>21</v>
      </c>
      <c r="B53" s="15" t="s">
        <v>224</v>
      </c>
      <c r="C53" s="16" t="s">
        <v>43</v>
      </c>
      <c r="D53" s="17">
        <v>200</v>
      </c>
      <c r="E53" s="20">
        <f>3195.2+500+705-136.9+275-66.6</f>
        <v>4471.7</v>
      </c>
      <c r="F53" s="20">
        <v>4043.9</v>
      </c>
      <c r="G53" s="20">
        <v>2472.9</v>
      </c>
    </row>
    <row r="54" spans="1:7" x14ac:dyDescent="0.25">
      <c r="A54" s="61" t="s">
        <v>22</v>
      </c>
      <c r="B54" s="15" t="s">
        <v>224</v>
      </c>
      <c r="C54" s="16" t="s">
        <v>43</v>
      </c>
      <c r="D54" s="17">
        <v>800</v>
      </c>
      <c r="E54" s="20">
        <v>95</v>
      </c>
      <c r="F54" s="20">
        <v>95</v>
      </c>
      <c r="G54" s="20">
        <v>95</v>
      </c>
    </row>
    <row r="55" spans="1:7" s="13" customFormat="1" x14ac:dyDescent="0.25">
      <c r="A55" s="9" t="s">
        <v>432</v>
      </c>
      <c r="B55" s="77" t="s">
        <v>434</v>
      </c>
      <c r="C55" s="14"/>
      <c r="D55" s="11"/>
      <c r="E55" s="12">
        <f>E56</f>
        <v>20739.599999999999</v>
      </c>
      <c r="F55" s="12">
        <v>0</v>
      </c>
      <c r="G55" s="12">
        <v>0</v>
      </c>
    </row>
    <row r="56" spans="1:7" x14ac:dyDescent="0.25">
      <c r="A56" s="1" t="s">
        <v>10</v>
      </c>
      <c r="B56" s="78" t="s">
        <v>434</v>
      </c>
      <c r="C56" s="16" t="s">
        <v>11</v>
      </c>
      <c r="D56" s="17"/>
      <c r="E56" s="59">
        <f>E57</f>
        <v>20739.599999999999</v>
      </c>
      <c r="F56" s="59">
        <v>0</v>
      </c>
      <c r="G56" s="59">
        <v>0</v>
      </c>
    </row>
    <row r="57" spans="1:7" x14ac:dyDescent="0.25">
      <c r="A57" s="1" t="s">
        <v>433</v>
      </c>
      <c r="B57" s="78" t="s">
        <v>434</v>
      </c>
      <c r="C57" s="16" t="s">
        <v>435</v>
      </c>
      <c r="D57" s="17"/>
      <c r="E57" s="59">
        <f>E58+E59</f>
        <v>20739.599999999999</v>
      </c>
      <c r="F57" s="59">
        <f t="shared" ref="F57:G57" si="4">F58+F59</f>
        <v>0</v>
      </c>
      <c r="G57" s="59">
        <f t="shared" si="4"/>
        <v>0</v>
      </c>
    </row>
    <row r="58" spans="1:7" ht="30" x14ac:dyDescent="0.25">
      <c r="A58" s="1" t="s">
        <v>21</v>
      </c>
      <c r="B58" s="78" t="s">
        <v>434</v>
      </c>
      <c r="C58" s="16" t="s">
        <v>435</v>
      </c>
      <c r="D58" s="17">
        <v>200</v>
      </c>
      <c r="E58" s="20">
        <f>28426-1479.4-6207-20739.6</f>
        <v>0</v>
      </c>
      <c r="F58" s="59">
        <v>0</v>
      </c>
      <c r="G58" s="59">
        <v>0</v>
      </c>
    </row>
    <row r="59" spans="1:7" x14ac:dyDescent="0.25">
      <c r="A59" s="61" t="s">
        <v>22</v>
      </c>
      <c r="B59" s="78" t="s">
        <v>434</v>
      </c>
      <c r="C59" s="16" t="s">
        <v>435</v>
      </c>
      <c r="D59" s="17">
        <v>800</v>
      </c>
      <c r="E59" s="20">
        <v>20739.599999999999</v>
      </c>
      <c r="F59" s="59"/>
      <c r="G59" s="59"/>
    </row>
    <row r="60" spans="1:7" x14ac:dyDescent="0.25">
      <c r="A60" s="9" t="s">
        <v>225</v>
      </c>
      <c r="B60" s="10" t="s">
        <v>226</v>
      </c>
      <c r="C60" s="14"/>
      <c r="D60" s="11"/>
      <c r="E60" s="12">
        <f>E61</f>
        <v>49000</v>
      </c>
      <c r="F60" s="12">
        <f t="shared" ref="F60:G62" si="5">F61</f>
        <v>36442.300000000003</v>
      </c>
      <c r="G60" s="12">
        <f t="shared" si="5"/>
        <v>50000</v>
      </c>
    </row>
    <row r="61" spans="1:7" x14ac:dyDescent="0.25">
      <c r="A61" s="1" t="s">
        <v>10</v>
      </c>
      <c r="B61" s="15" t="s">
        <v>226</v>
      </c>
      <c r="C61" s="16" t="s">
        <v>11</v>
      </c>
      <c r="D61" s="17"/>
      <c r="E61" s="59">
        <f>E62</f>
        <v>49000</v>
      </c>
      <c r="F61" s="59">
        <f t="shared" si="5"/>
        <v>36442.300000000003</v>
      </c>
      <c r="G61" s="59">
        <f t="shared" si="5"/>
        <v>50000</v>
      </c>
    </row>
    <row r="62" spans="1:7" x14ac:dyDescent="0.25">
      <c r="A62" s="1" t="s">
        <v>227</v>
      </c>
      <c r="B62" s="15" t="s">
        <v>226</v>
      </c>
      <c r="C62" s="16" t="s">
        <v>228</v>
      </c>
      <c r="D62" s="17"/>
      <c r="E62" s="59">
        <f>E63</f>
        <v>49000</v>
      </c>
      <c r="F62" s="59">
        <f t="shared" si="5"/>
        <v>36442.300000000003</v>
      </c>
      <c r="G62" s="59">
        <f t="shared" si="5"/>
        <v>50000</v>
      </c>
    </row>
    <row r="63" spans="1:7" x14ac:dyDescent="0.25">
      <c r="A63" s="61" t="s">
        <v>22</v>
      </c>
      <c r="B63" s="15" t="s">
        <v>226</v>
      </c>
      <c r="C63" s="16" t="s">
        <v>229</v>
      </c>
      <c r="D63" s="17">
        <v>800</v>
      </c>
      <c r="E63" s="60">
        <f>30000+20000-1000</f>
        <v>49000</v>
      </c>
      <c r="F63" s="60">
        <f>30000+20000-13557.7</f>
        <v>36442.300000000003</v>
      </c>
      <c r="G63" s="60">
        <f>30000+20000</f>
        <v>50000</v>
      </c>
    </row>
    <row r="64" spans="1:7" x14ac:dyDescent="0.25">
      <c r="A64" s="9" t="s">
        <v>25</v>
      </c>
      <c r="B64" s="10" t="s">
        <v>26</v>
      </c>
      <c r="C64" s="14"/>
      <c r="D64" s="11"/>
      <c r="E64" s="12">
        <f>E65+E85+E92</f>
        <v>257683</v>
      </c>
      <c r="F64" s="12">
        <f>F65+F85+F92</f>
        <v>183605.39999999997</v>
      </c>
      <c r="G64" s="12">
        <f>G65+G85+G92</f>
        <v>187106.19999999998</v>
      </c>
    </row>
    <row r="65" spans="1:7" x14ac:dyDescent="0.25">
      <c r="A65" s="1" t="s">
        <v>10</v>
      </c>
      <c r="B65" s="15" t="s">
        <v>26</v>
      </c>
      <c r="C65" s="16" t="s">
        <v>11</v>
      </c>
      <c r="D65" s="17"/>
      <c r="E65" s="59">
        <f>E66+E70+E74+E78+E83+E81</f>
        <v>234610.1</v>
      </c>
      <c r="F65" s="59">
        <f t="shared" ref="F65:G65" si="6">F66+F70+F74+F78+F83+F81</f>
        <v>160490.09999999998</v>
      </c>
      <c r="G65" s="59">
        <f t="shared" si="6"/>
        <v>163553.29999999999</v>
      </c>
    </row>
    <row r="66" spans="1:7" ht="30" x14ac:dyDescent="0.25">
      <c r="A66" s="76" t="s">
        <v>42</v>
      </c>
      <c r="B66" s="15" t="s">
        <v>26</v>
      </c>
      <c r="C66" s="16" t="s">
        <v>43</v>
      </c>
      <c r="D66" s="17"/>
      <c r="E66" s="59">
        <f>SUM(E67:E69)</f>
        <v>35280.6</v>
      </c>
      <c r="F66" s="59">
        <f>SUM(F67:F69)</f>
        <v>33294.799999999996</v>
      </c>
      <c r="G66" s="59">
        <f>SUM(G67:G69)</f>
        <v>33453.4</v>
      </c>
    </row>
    <row r="67" spans="1:7" ht="60" x14ac:dyDescent="0.25">
      <c r="A67" s="1" t="s">
        <v>14</v>
      </c>
      <c r="B67" s="15" t="s">
        <v>26</v>
      </c>
      <c r="C67" s="16" t="s">
        <v>43</v>
      </c>
      <c r="D67" s="17">
        <v>100</v>
      </c>
      <c r="E67" s="20">
        <f>30245.1-149.1+345.6+149.1</f>
        <v>30590.699999999997</v>
      </c>
      <c r="F67" s="20">
        <v>30456</v>
      </c>
      <c r="G67" s="20">
        <v>31630.2</v>
      </c>
    </row>
    <row r="68" spans="1:7" ht="30" x14ac:dyDescent="0.25">
      <c r="A68" s="1" t="s">
        <v>21</v>
      </c>
      <c r="B68" s="15" t="s">
        <v>26</v>
      </c>
      <c r="C68" s="16" t="s">
        <v>43</v>
      </c>
      <c r="D68" s="17">
        <v>200</v>
      </c>
      <c r="E68" s="20">
        <f>1985.1+644.6+149.1-149.1+955.4</f>
        <v>3585.1</v>
      </c>
      <c r="F68" s="20">
        <v>2608.6999999999998</v>
      </c>
      <c r="G68" s="20">
        <v>1593.1</v>
      </c>
    </row>
    <row r="69" spans="1:7" x14ac:dyDescent="0.25">
      <c r="A69" s="61" t="s">
        <v>22</v>
      </c>
      <c r="B69" s="15" t="s">
        <v>26</v>
      </c>
      <c r="C69" s="16" t="s">
        <v>43</v>
      </c>
      <c r="D69" s="17">
        <v>800</v>
      </c>
      <c r="E69" s="20">
        <f>230.1+874.7</f>
        <v>1104.8</v>
      </c>
      <c r="F69" s="20">
        <v>230.1</v>
      </c>
      <c r="G69" s="20">
        <v>230.1</v>
      </c>
    </row>
    <row r="70" spans="1:7" ht="30" x14ac:dyDescent="0.25">
      <c r="A70" s="61" t="s">
        <v>51</v>
      </c>
      <c r="B70" s="15" t="s">
        <v>26</v>
      </c>
      <c r="C70" s="16" t="s">
        <v>52</v>
      </c>
      <c r="D70" s="17"/>
      <c r="E70" s="59">
        <f>SUM(E71:E73)</f>
        <v>138381</v>
      </c>
      <c r="F70" s="59">
        <f>SUM(F71:F73)</f>
        <v>112132.29999999999</v>
      </c>
      <c r="G70" s="59">
        <f>SUM(G71:G73)</f>
        <v>105711.5</v>
      </c>
    </row>
    <row r="71" spans="1:7" ht="60" x14ac:dyDescent="0.25">
      <c r="A71" s="1" t="s">
        <v>14</v>
      </c>
      <c r="B71" s="15" t="s">
        <v>26</v>
      </c>
      <c r="C71" s="16" t="s">
        <v>52</v>
      </c>
      <c r="D71" s="17">
        <v>100</v>
      </c>
      <c r="E71" s="60">
        <f>65576.8+3.5</f>
        <v>65580.3</v>
      </c>
      <c r="F71" s="60">
        <v>66309.7</v>
      </c>
      <c r="G71" s="20">
        <v>68805.899999999994</v>
      </c>
    </row>
    <row r="72" spans="1:7" ht="30" x14ac:dyDescent="0.25">
      <c r="A72" s="1" t="s">
        <v>21</v>
      </c>
      <c r="B72" s="15" t="s">
        <v>26</v>
      </c>
      <c r="C72" s="16" t="s">
        <v>52</v>
      </c>
      <c r="D72" s="17">
        <v>200</v>
      </c>
      <c r="E72" s="60">
        <f>35764+8909+497+3496.4+19014.1+321.2-3.5+240</f>
        <v>68238.2</v>
      </c>
      <c r="F72" s="60">
        <v>41260.1</v>
      </c>
      <c r="G72" s="20">
        <v>32343.1</v>
      </c>
    </row>
    <row r="73" spans="1:7" x14ac:dyDescent="0.25">
      <c r="A73" s="61" t="s">
        <v>22</v>
      </c>
      <c r="B73" s="15" t="s">
        <v>26</v>
      </c>
      <c r="C73" s="16" t="s">
        <v>52</v>
      </c>
      <c r="D73" s="17">
        <v>800</v>
      </c>
      <c r="E73" s="60">
        <v>4562.5</v>
      </c>
      <c r="F73" s="60">
        <v>4562.5</v>
      </c>
      <c r="G73" s="20">
        <v>4562.5</v>
      </c>
    </row>
    <row r="74" spans="1:7" x14ac:dyDescent="0.25">
      <c r="A74" s="1" t="s">
        <v>53</v>
      </c>
      <c r="B74" s="15" t="s">
        <v>26</v>
      </c>
      <c r="C74" s="16" t="s">
        <v>54</v>
      </c>
      <c r="D74" s="17"/>
      <c r="E74" s="59">
        <f>E77+E75+E76</f>
        <v>29664.999999999996</v>
      </c>
      <c r="F74" s="59">
        <f t="shared" ref="F74:G74" si="7">F77+F75+F76</f>
        <v>14488.099999999999</v>
      </c>
      <c r="G74" s="59">
        <f t="shared" si="7"/>
        <v>23813.5</v>
      </c>
    </row>
    <row r="75" spans="1:7" ht="30" x14ac:dyDescent="0.25">
      <c r="A75" s="1" t="s">
        <v>21</v>
      </c>
      <c r="B75" s="15" t="s">
        <v>26</v>
      </c>
      <c r="C75" s="16" t="s">
        <v>54</v>
      </c>
      <c r="D75" s="17">
        <v>200</v>
      </c>
      <c r="E75" s="59">
        <f>3776.1+2776.1-3304.7+130</f>
        <v>3377.5</v>
      </c>
      <c r="F75" s="59">
        <v>0</v>
      </c>
      <c r="G75" s="59">
        <v>0</v>
      </c>
    </row>
    <row r="76" spans="1:7" x14ac:dyDescent="0.25">
      <c r="A76" s="1" t="s">
        <v>29</v>
      </c>
      <c r="B76" s="15" t="s">
        <v>26</v>
      </c>
      <c r="C76" s="16" t="s">
        <v>54</v>
      </c>
      <c r="D76" s="17">
        <v>300</v>
      </c>
      <c r="E76" s="59">
        <f>5269.1+2187+3469+11431.3</f>
        <v>22356.400000000001</v>
      </c>
      <c r="F76" s="59">
        <v>0</v>
      </c>
      <c r="G76" s="59">
        <v>0</v>
      </c>
    </row>
    <row r="77" spans="1:7" x14ac:dyDescent="0.25">
      <c r="A77" s="61" t="s">
        <v>22</v>
      </c>
      <c r="B77" s="15" t="s">
        <v>26</v>
      </c>
      <c r="C77" s="16" t="s">
        <v>54</v>
      </c>
      <c r="D77" s="17">
        <v>800</v>
      </c>
      <c r="E77" s="60">
        <f>15176+85.6+8552-9645.2-4963.1+56.1+9.3+3113.3+22.5-8596.6+121.2</f>
        <v>3931.0999999999958</v>
      </c>
      <c r="F77" s="60">
        <f>17005.6-254.2+85.6+6976.6-9325.5</f>
        <v>14488.099999999999</v>
      </c>
      <c r="G77" s="60">
        <f>15470.7-508.5+85.6+8765.7</f>
        <v>23813.5</v>
      </c>
    </row>
    <row r="78" spans="1:7" x14ac:dyDescent="0.25">
      <c r="A78" s="61" t="s">
        <v>55</v>
      </c>
      <c r="B78" s="15" t="s">
        <v>26</v>
      </c>
      <c r="C78" s="16" t="s">
        <v>56</v>
      </c>
      <c r="D78" s="17"/>
      <c r="E78" s="59">
        <f>E79+E80</f>
        <v>30658.6</v>
      </c>
      <c r="F78" s="59">
        <f t="shared" ref="F78:G78" si="8">F79+F80</f>
        <v>0</v>
      </c>
      <c r="G78" s="59">
        <f t="shared" si="8"/>
        <v>0</v>
      </c>
    </row>
    <row r="79" spans="1:7" ht="30" x14ac:dyDescent="0.25">
      <c r="A79" s="1" t="s">
        <v>21</v>
      </c>
      <c r="B79" s="15" t="s">
        <v>26</v>
      </c>
      <c r="C79" s="16" t="s">
        <v>56</v>
      </c>
      <c r="D79" s="17">
        <v>200</v>
      </c>
      <c r="E79" s="60">
        <f>17931.2+100+450+300</f>
        <v>18781.2</v>
      </c>
      <c r="F79" s="20">
        <v>0</v>
      </c>
      <c r="G79" s="20">
        <v>0</v>
      </c>
    </row>
    <row r="80" spans="1:7" x14ac:dyDescent="0.25">
      <c r="A80" s="61" t="s">
        <v>22</v>
      </c>
      <c r="B80" s="15" t="s">
        <v>26</v>
      </c>
      <c r="C80" s="16" t="s">
        <v>56</v>
      </c>
      <c r="D80" s="17">
        <v>800</v>
      </c>
      <c r="E80" s="60">
        <f>11407.4+480+20-30</f>
        <v>11877.4</v>
      </c>
      <c r="F80" s="20">
        <v>0</v>
      </c>
      <c r="G80" s="20">
        <v>0</v>
      </c>
    </row>
    <row r="81" spans="1:7" ht="17.25" customHeight="1" x14ac:dyDescent="0.25">
      <c r="A81" s="130" t="s">
        <v>562</v>
      </c>
      <c r="B81" s="15" t="s">
        <v>26</v>
      </c>
      <c r="C81" s="16" t="s">
        <v>563</v>
      </c>
      <c r="D81" s="131"/>
      <c r="E81" s="60">
        <f>E82</f>
        <v>50</v>
      </c>
      <c r="F81" s="60">
        <f t="shared" ref="F81:G81" si="9">F82</f>
        <v>0</v>
      </c>
      <c r="G81" s="60">
        <f t="shared" si="9"/>
        <v>0</v>
      </c>
    </row>
    <row r="82" spans="1:7" ht="17.25" customHeight="1" x14ac:dyDescent="0.25">
      <c r="A82" s="130" t="s">
        <v>22</v>
      </c>
      <c r="B82" s="15" t="s">
        <v>26</v>
      </c>
      <c r="C82" s="16" t="s">
        <v>563</v>
      </c>
      <c r="D82" s="131" t="s">
        <v>385</v>
      </c>
      <c r="E82" s="60">
        <f>20+30</f>
        <v>50</v>
      </c>
      <c r="F82" s="20">
        <v>0</v>
      </c>
      <c r="G82" s="20">
        <v>0</v>
      </c>
    </row>
    <row r="83" spans="1:7" ht="30" x14ac:dyDescent="0.25">
      <c r="A83" s="1" t="s">
        <v>27</v>
      </c>
      <c r="B83" s="15" t="s">
        <v>26</v>
      </c>
      <c r="C83" s="16" t="s">
        <v>28</v>
      </c>
      <c r="D83" s="17"/>
      <c r="E83" s="59">
        <f>E84</f>
        <v>574.9</v>
      </c>
      <c r="F83" s="59">
        <f>F84</f>
        <v>574.9</v>
      </c>
      <c r="G83" s="59">
        <f>G84</f>
        <v>574.9</v>
      </c>
    </row>
    <row r="84" spans="1:7" x14ac:dyDescent="0.25">
      <c r="A84" s="1" t="s">
        <v>29</v>
      </c>
      <c r="B84" s="15" t="s">
        <v>26</v>
      </c>
      <c r="C84" s="16" t="s">
        <v>28</v>
      </c>
      <c r="D84" s="17">
        <v>300</v>
      </c>
      <c r="E84" s="20">
        <v>574.9</v>
      </c>
      <c r="F84" s="20">
        <v>574.9</v>
      </c>
      <c r="G84" s="20">
        <v>574.9</v>
      </c>
    </row>
    <row r="85" spans="1:7" ht="30" x14ac:dyDescent="0.25">
      <c r="A85" s="79" t="s">
        <v>525</v>
      </c>
      <c r="B85" s="21" t="s">
        <v>26</v>
      </c>
      <c r="C85" s="21" t="s">
        <v>241</v>
      </c>
      <c r="D85" s="22"/>
      <c r="E85" s="59">
        <f>SUM(E86)</f>
        <v>22750.899999999998</v>
      </c>
      <c r="F85" s="59">
        <f t="shared" ref="F85:G87" si="10">SUM(F86)</f>
        <v>22836.799999999999</v>
      </c>
      <c r="G85" s="59">
        <f t="shared" si="10"/>
        <v>23382.6</v>
      </c>
    </row>
    <row r="86" spans="1:7" ht="45" x14ac:dyDescent="0.25">
      <c r="A86" s="79" t="s">
        <v>526</v>
      </c>
      <c r="B86" s="21" t="s">
        <v>26</v>
      </c>
      <c r="C86" s="21" t="s">
        <v>401</v>
      </c>
      <c r="D86" s="22"/>
      <c r="E86" s="59">
        <f>SUM(E87)</f>
        <v>22750.899999999998</v>
      </c>
      <c r="F86" s="59">
        <f t="shared" si="10"/>
        <v>22836.799999999999</v>
      </c>
      <c r="G86" s="59">
        <f t="shared" si="10"/>
        <v>23382.6</v>
      </c>
    </row>
    <row r="87" spans="1:7" ht="45" x14ac:dyDescent="0.25">
      <c r="A87" s="80" t="s">
        <v>402</v>
      </c>
      <c r="B87" s="21" t="s">
        <v>26</v>
      </c>
      <c r="C87" s="21" t="s">
        <v>403</v>
      </c>
      <c r="D87" s="22"/>
      <c r="E87" s="59">
        <f>SUM(E88)</f>
        <v>22750.899999999998</v>
      </c>
      <c r="F87" s="59">
        <f t="shared" si="10"/>
        <v>22836.799999999999</v>
      </c>
      <c r="G87" s="59">
        <f t="shared" si="10"/>
        <v>23382.6</v>
      </c>
    </row>
    <row r="88" spans="1:7" ht="30" x14ac:dyDescent="0.25">
      <c r="A88" s="23" t="s">
        <v>57</v>
      </c>
      <c r="B88" s="21" t="s">
        <v>26</v>
      </c>
      <c r="C88" s="21" t="s">
        <v>391</v>
      </c>
      <c r="D88" s="22"/>
      <c r="E88" s="59">
        <f>SUM(E89:E91)</f>
        <v>22750.899999999998</v>
      </c>
      <c r="F88" s="59">
        <f>SUM(F89:F91)</f>
        <v>22836.799999999999</v>
      </c>
      <c r="G88" s="59">
        <f>SUM(G89:G91)</f>
        <v>23382.6</v>
      </c>
    </row>
    <row r="89" spans="1:7" ht="60" x14ac:dyDescent="0.25">
      <c r="A89" s="23" t="s">
        <v>392</v>
      </c>
      <c r="B89" s="21" t="s">
        <v>26</v>
      </c>
      <c r="C89" s="21" t="s">
        <v>391</v>
      </c>
      <c r="D89" s="22">
        <v>100</v>
      </c>
      <c r="E89" s="20">
        <v>21763.1</v>
      </c>
      <c r="F89" s="20">
        <v>21969.7</v>
      </c>
      <c r="G89" s="20">
        <v>22815.8</v>
      </c>
    </row>
    <row r="90" spans="1:7" ht="30" x14ac:dyDescent="0.25">
      <c r="A90" s="23" t="s">
        <v>429</v>
      </c>
      <c r="B90" s="21" t="s">
        <v>26</v>
      </c>
      <c r="C90" s="21" t="s">
        <v>391</v>
      </c>
      <c r="D90" s="22">
        <v>200</v>
      </c>
      <c r="E90" s="20">
        <f>608.9+96+282.9</f>
        <v>987.8</v>
      </c>
      <c r="F90" s="20">
        <v>771.1</v>
      </c>
      <c r="G90" s="20">
        <v>470.8</v>
      </c>
    </row>
    <row r="91" spans="1:7" x14ac:dyDescent="0.25">
      <c r="A91" s="61" t="s">
        <v>22</v>
      </c>
      <c r="B91" s="21" t="s">
        <v>26</v>
      </c>
      <c r="C91" s="21" t="s">
        <v>391</v>
      </c>
      <c r="D91" s="22">
        <v>800</v>
      </c>
      <c r="E91" s="20">
        <f>96-96</f>
        <v>0</v>
      </c>
      <c r="F91" s="20">
        <v>96</v>
      </c>
      <c r="G91" s="20">
        <v>96</v>
      </c>
    </row>
    <row r="92" spans="1:7" ht="60" x14ac:dyDescent="0.25">
      <c r="A92" s="79" t="s">
        <v>527</v>
      </c>
      <c r="B92" s="81" t="s">
        <v>26</v>
      </c>
      <c r="C92" s="81" t="s">
        <v>98</v>
      </c>
      <c r="D92" s="22"/>
      <c r="E92" s="59">
        <f>SUM(E93)</f>
        <v>322</v>
      </c>
      <c r="F92" s="59">
        <f t="shared" ref="F92:G95" si="11">SUM(F93)</f>
        <v>278.5</v>
      </c>
      <c r="G92" s="59">
        <f t="shared" si="11"/>
        <v>170.3</v>
      </c>
    </row>
    <row r="93" spans="1:7" ht="30" x14ac:dyDescent="0.25">
      <c r="A93" s="61" t="s">
        <v>393</v>
      </c>
      <c r="B93" s="81" t="s">
        <v>26</v>
      </c>
      <c r="C93" s="81" t="s">
        <v>394</v>
      </c>
      <c r="D93" s="22"/>
      <c r="E93" s="59">
        <f>SUM(E94)</f>
        <v>322</v>
      </c>
      <c r="F93" s="59">
        <f t="shared" si="11"/>
        <v>278.5</v>
      </c>
      <c r="G93" s="59">
        <f t="shared" si="11"/>
        <v>170.3</v>
      </c>
    </row>
    <row r="94" spans="1:7" ht="30" x14ac:dyDescent="0.25">
      <c r="A94" s="61" t="s">
        <v>395</v>
      </c>
      <c r="B94" s="81" t="s">
        <v>26</v>
      </c>
      <c r="C94" s="81" t="s">
        <v>396</v>
      </c>
      <c r="D94" s="22"/>
      <c r="E94" s="59">
        <f>SUM(E95)</f>
        <v>322</v>
      </c>
      <c r="F94" s="59">
        <f t="shared" si="11"/>
        <v>278.5</v>
      </c>
      <c r="G94" s="59">
        <f t="shared" si="11"/>
        <v>170.3</v>
      </c>
    </row>
    <row r="95" spans="1:7" ht="30" x14ac:dyDescent="0.25">
      <c r="A95" s="61" t="s">
        <v>397</v>
      </c>
      <c r="B95" s="81" t="s">
        <v>26</v>
      </c>
      <c r="C95" s="81" t="s">
        <v>398</v>
      </c>
      <c r="D95" s="22"/>
      <c r="E95" s="59">
        <f>SUM(E96)</f>
        <v>322</v>
      </c>
      <c r="F95" s="59">
        <f t="shared" si="11"/>
        <v>278.5</v>
      </c>
      <c r="G95" s="59">
        <f t="shared" si="11"/>
        <v>170.3</v>
      </c>
    </row>
    <row r="96" spans="1:7" ht="30" x14ac:dyDescent="0.25">
      <c r="A96" s="82" t="s">
        <v>21</v>
      </c>
      <c r="B96" s="81" t="s">
        <v>26</v>
      </c>
      <c r="C96" s="81" t="s">
        <v>398</v>
      </c>
      <c r="D96" s="22">
        <v>200</v>
      </c>
      <c r="E96" s="20">
        <f>220.1+101.9</f>
        <v>322</v>
      </c>
      <c r="F96" s="20">
        <v>278.5</v>
      </c>
      <c r="G96" s="20">
        <v>170.3</v>
      </c>
    </row>
    <row r="97" spans="1:7" x14ac:dyDescent="0.25">
      <c r="A97" s="9" t="s">
        <v>59</v>
      </c>
      <c r="B97" s="10" t="s">
        <v>60</v>
      </c>
      <c r="C97" s="14"/>
      <c r="D97" s="11"/>
      <c r="E97" s="12">
        <f t="shared" ref="E97:G98" si="12">E98</f>
        <v>1073</v>
      </c>
      <c r="F97" s="12">
        <f t="shared" si="12"/>
        <v>1081</v>
      </c>
      <c r="G97" s="12">
        <f t="shared" si="12"/>
        <v>661.1</v>
      </c>
    </row>
    <row r="98" spans="1:7" x14ac:dyDescent="0.25">
      <c r="A98" s="9" t="s">
        <v>61</v>
      </c>
      <c r="B98" s="10" t="s">
        <v>62</v>
      </c>
      <c r="C98" s="14"/>
      <c r="D98" s="11"/>
      <c r="E98" s="12">
        <f>E99</f>
        <v>1073</v>
      </c>
      <c r="F98" s="12">
        <f t="shared" si="12"/>
        <v>1081</v>
      </c>
      <c r="G98" s="12">
        <f t="shared" si="12"/>
        <v>661.1</v>
      </c>
    </row>
    <row r="99" spans="1:7" s="13" customFormat="1" x14ac:dyDescent="0.25">
      <c r="A99" s="1" t="s">
        <v>10</v>
      </c>
      <c r="B99" s="15" t="s">
        <v>62</v>
      </c>
      <c r="C99" s="16" t="s">
        <v>11</v>
      </c>
      <c r="D99" s="17"/>
      <c r="E99" s="59">
        <f>SUM(E100+E102)</f>
        <v>1073</v>
      </c>
      <c r="F99" s="59">
        <f>SUM(F100+F102)</f>
        <v>1081</v>
      </c>
      <c r="G99" s="59">
        <f>SUM(G100+G102)</f>
        <v>661.1</v>
      </c>
    </row>
    <row r="100" spans="1:7" x14ac:dyDescent="0.25">
      <c r="A100" s="1" t="s">
        <v>63</v>
      </c>
      <c r="B100" s="15" t="s">
        <v>62</v>
      </c>
      <c r="C100" s="16" t="s">
        <v>64</v>
      </c>
      <c r="D100" s="17"/>
      <c r="E100" s="59">
        <f>E101</f>
        <v>755</v>
      </c>
      <c r="F100" s="59">
        <f>F101</f>
        <v>773</v>
      </c>
      <c r="G100" s="59">
        <f>G101</f>
        <v>353.1</v>
      </c>
    </row>
    <row r="101" spans="1:7" ht="30" x14ac:dyDescent="0.25">
      <c r="A101" s="1" t="s">
        <v>21</v>
      </c>
      <c r="B101" s="15" t="s">
        <v>62</v>
      </c>
      <c r="C101" s="16" t="s">
        <v>64</v>
      </c>
      <c r="D101" s="17">
        <v>200</v>
      </c>
      <c r="E101" s="60">
        <f>536.2+218.8</f>
        <v>755</v>
      </c>
      <c r="F101" s="60">
        <v>773</v>
      </c>
      <c r="G101" s="20">
        <v>353.1</v>
      </c>
    </row>
    <row r="102" spans="1:7" x14ac:dyDescent="0.25">
      <c r="A102" s="1" t="s">
        <v>65</v>
      </c>
      <c r="B102" s="15" t="s">
        <v>62</v>
      </c>
      <c r="C102" s="16" t="s">
        <v>66</v>
      </c>
      <c r="D102" s="17"/>
      <c r="E102" s="59">
        <f>E103+E104</f>
        <v>318</v>
      </c>
      <c r="F102" s="59">
        <f t="shared" ref="F102:G102" si="13">F103+F104</f>
        <v>308</v>
      </c>
      <c r="G102" s="59">
        <f t="shared" si="13"/>
        <v>308</v>
      </c>
    </row>
    <row r="103" spans="1:7" ht="30" x14ac:dyDescent="0.25">
      <c r="A103" s="1" t="s">
        <v>21</v>
      </c>
      <c r="B103" s="15" t="s">
        <v>62</v>
      </c>
      <c r="C103" s="16" t="s">
        <v>66</v>
      </c>
      <c r="D103" s="17">
        <v>200</v>
      </c>
      <c r="E103" s="60">
        <v>308</v>
      </c>
      <c r="F103" s="60">
        <v>308</v>
      </c>
      <c r="G103" s="20">
        <v>308</v>
      </c>
    </row>
    <row r="104" spans="1:7" x14ac:dyDescent="0.25">
      <c r="A104" s="1" t="s">
        <v>29</v>
      </c>
      <c r="B104" s="15" t="s">
        <v>62</v>
      </c>
      <c r="C104" s="16" t="s">
        <v>66</v>
      </c>
      <c r="D104" s="17">
        <v>300</v>
      </c>
      <c r="E104" s="60">
        <v>10</v>
      </c>
      <c r="F104" s="60">
        <v>0</v>
      </c>
      <c r="G104" s="20">
        <v>0</v>
      </c>
    </row>
    <row r="105" spans="1:7" ht="29.25" x14ac:dyDescent="0.25">
      <c r="A105" s="9" t="s">
        <v>272</v>
      </c>
      <c r="B105" s="10" t="s">
        <v>273</v>
      </c>
      <c r="C105" s="14"/>
      <c r="D105" s="11"/>
      <c r="E105" s="12">
        <f t="shared" ref="E105:G105" si="14">SUM(E106)</f>
        <v>100422.3</v>
      </c>
      <c r="F105" s="12">
        <f t="shared" si="14"/>
        <v>92406.8</v>
      </c>
      <c r="G105" s="12">
        <f t="shared" si="14"/>
        <v>80769.399999999994</v>
      </c>
    </row>
    <row r="106" spans="1:7" ht="29.25" x14ac:dyDescent="0.25">
      <c r="A106" s="83" t="s">
        <v>274</v>
      </c>
      <c r="B106" s="10" t="s">
        <v>275</v>
      </c>
      <c r="C106" s="14"/>
      <c r="D106" s="11"/>
      <c r="E106" s="12">
        <f>SUM(E107)</f>
        <v>100422.3</v>
      </c>
      <c r="F106" s="12">
        <f t="shared" ref="F106:G106" si="15">SUM(F107)</f>
        <v>92406.8</v>
      </c>
      <c r="G106" s="12">
        <f t="shared" si="15"/>
        <v>80769.399999999994</v>
      </c>
    </row>
    <row r="107" spans="1:7" ht="45" x14ac:dyDescent="0.25">
      <c r="A107" s="76" t="s">
        <v>528</v>
      </c>
      <c r="B107" s="15" t="s">
        <v>275</v>
      </c>
      <c r="C107" s="16" t="s">
        <v>71</v>
      </c>
      <c r="D107" s="17"/>
      <c r="E107" s="59">
        <f>SUM(E108+E116+E123+E128)</f>
        <v>100422.3</v>
      </c>
      <c r="F107" s="59">
        <f>SUM(F108+F116+F123+F128)</f>
        <v>92406.8</v>
      </c>
      <c r="G107" s="59">
        <f>SUM(G108+G116+G123+G128)</f>
        <v>80769.399999999994</v>
      </c>
    </row>
    <row r="108" spans="1:7" ht="30" x14ac:dyDescent="0.25">
      <c r="A108" s="62" t="s">
        <v>276</v>
      </c>
      <c r="B108" s="15" t="s">
        <v>275</v>
      </c>
      <c r="C108" s="16" t="s">
        <v>277</v>
      </c>
      <c r="D108" s="17"/>
      <c r="E108" s="59">
        <f>SUM(E109)</f>
        <v>38754.199999999997</v>
      </c>
      <c r="F108" s="59">
        <f>SUM(F109)</f>
        <v>30791.3</v>
      </c>
      <c r="G108" s="59">
        <f>SUM(G109)</f>
        <v>18871.100000000002</v>
      </c>
    </row>
    <row r="109" spans="1:7" ht="30" x14ac:dyDescent="0.25">
      <c r="A109" s="62" t="s">
        <v>278</v>
      </c>
      <c r="B109" s="15" t="s">
        <v>275</v>
      </c>
      <c r="C109" s="16" t="s">
        <v>279</v>
      </c>
      <c r="D109" s="17"/>
      <c r="E109" s="59">
        <f>SUM(E112+E114)+E110</f>
        <v>38754.199999999997</v>
      </c>
      <c r="F109" s="59">
        <f t="shared" ref="F109:G109" si="16">SUM(F112+F114)</f>
        <v>30791.3</v>
      </c>
      <c r="G109" s="59">
        <f t="shared" si="16"/>
        <v>18871.100000000002</v>
      </c>
    </row>
    <row r="110" spans="1:7" ht="45" x14ac:dyDescent="0.25">
      <c r="A110" s="139" t="s">
        <v>617</v>
      </c>
      <c r="B110" s="15" t="s">
        <v>275</v>
      </c>
      <c r="C110" s="16" t="s">
        <v>618</v>
      </c>
      <c r="D110" s="17"/>
      <c r="E110" s="59">
        <f>E111</f>
        <v>2969.2</v>
      </c>
      <c r="F110" s="59">
        <f t="shared" ref="F110:G110" si="17">F111</f>
        <v>0</v>
      </c>
      <c r="G110" s="59">
        <f t="shared" si="17"/>
        <v>0</v>
      </c>
    </row>
    <row r="111" spans="1:7" ht="30" x14ac:dyDescent="0.25">
      <c r="A111" s="66" t="s">
        <v>21</v>
      </c>
      <c r="B111" s="15" t="s">
        <v>275</v>
      </c>
      <c r="C111" s="16" t="s">
        <v>618</v>
      </c>
      <c r="D111" s="17">
        <v>200</v>
      </c>
      <c r="E111" s="59">
        <v>2969.2</v>
      </c>
      <c r="F111" s="59">
        <v>0</v>
      </c>
      <c r="G111" s="59">
        <v>0</v>
      </c>
    </row>
    <row r="112" spans="1:7" s="13" customFormat="1" ht="30" x14ac:dyDescent="0.25">
      <c r="A112" s="62" t="s">
        <v>426</v>
      </c>
      <c r="B112" s="15" t="s">
        <v>275</v>
      </c>
      <c r="C112" s="16" t="s">
        <v>280</v>
      </c>
      <c r="D112" s="17"/>
      <c r="E112" s="59">
        <f>E113</f>
        <v>35532</v>
      </c>
      <c r="F112" s="59">
        <f>F113</f>
        <v>30735.200000000001</v>
      </c>
      <c r="G112" s="59">
        <f>G113</f>
        <v>18796.400000000001</v>
      </c>
    </row>
    <row r="113" spans="1:7" s="13" customFormat="1" ht="30" x14ac:dyDescent="0.25">
      <c r="A113" s="1" t="s">
        <v>21</v>
      </c>
      <c r="B113" s="15" t="s">
        <v>275</v>
      </c>
      <c r="C113" s="16" t="s">
        <v>280</v>
      </c>
      <c r="D113" s="17">
        <v>200</v>
      </c>
      <c r="E113" s="60">
        <f>24286.2+11245.8+2969.2-2969.2</f>
        <v>35532</v>
      </c>
      <c r="F113" s="60">
        <v>30735.200000000001</v>
      </c>
      <c r="G113" s="20">
        <v>18796.400000000001</v>
      </c>
    </row>
    <row r="114" spans="1:7" s="13" customFormat="1" ht="95.25" customHeight="1" x14ac:dyDescent="0.25">
      <c r="A114" s="66" t="s">
        <v>491</v>
      </c>
      <c r="B114" s="15" t="s">
        <v>275</v>
      </c>
      <c r="C114" s="16" t="s">
        <v>454</v>
      </c>
      <c r="D114" s="17"/>
      <c r="E114" s="20">
        <f>E115</f>
        <v>253</v>
      </c>
      <c r="F114" s="20">
        <f t="shared" ref="F114:G114" si="18">F115</f>
        <v>56.100000000000023</v>
      </c>
      <c r="G114" s="20">
        <f t="shared" si="18"/>
        <v>74.700000000000045</v>
      </c>
    </row>
    <row r="115" spans="1:7" s="13" customFormat="1" ht="30" x14ac:dyDescent="0.25">
      <c r="A115" s="66" t="s">
        <v>21</v>
      </c>
      <c r="B115" s="15" t="s">
        <v>275</v>
      </c>
      <c r="C115" s="16" t="s">
        <v>454</v>
      </c>
      <c r="D115" s="17">
        <v>200</v>
      </c>
      <c r="E115" s="60">
        <f>457.5-204.5</f>
        <v>253</v>
      </c>
      <c r="F115" s="60">
        <f>371.1-315</f>
        <v>56.100000000000023</v>
      </c>
      <c r="G115" s="20">
        <f>371.1-296.4</f>
        <v>74.700000000000045</v>
      </c>
    </row>
    <row r="116" spans="1:7" ht="30" x14ac:dyDescent="0.25">
      <c r="A116" s="1" t="s">
        <v>281</v>
      </c>
      <c r="B116" s="15" t="s">
        <v>275</v>
      </c>
      <c r="C116" s="16" t="s">
        <v>282</v>
      </c>
      <c r="D116" s="17"/>
      <c r="E116" s="59">
        <f>SUM(E117)</f>
        <v>2493.2999999999997</v>
      </c>
      <c r="F116" s="59">
        <f>SUM(F117)</f>
        <v>2244.5</v>
      </c>
      <c r="G116" s="59">
        <f>SUM(G117)</f>
        <v>2264.6999999999998</v>
      </c>
    </row>
    <row r="117" spans="1:7" ht="30" x14ac:dyDescent="0.25">
      <c r="A117" s="1" t="s">
        <v>283</v>
      </c>
      <c r="B117" s="15" t="s">
        <v>275</v>
      </c>
      <c r="C117" s="16" t="s">
        <v>284</v>
      </c>
      <c r="D117" s="17"/>
      <c r="E117" s="59">
        <f>SUM(E118+E120)</f>
        <v>2493.2999999999997</v>
      </c>
      <c r="F117" s="59">
        <f>SUM(F118+F120)</f>
        <v>2244.5</v>
      </c>
      <c r="G117" s="59">
        <f t="shared" ref="G117" si="19">SUM(G118+G120)</f>
        <v>2264.6999999999998</v>
      </c>
    </row>
    <row r="118" spans="1:7" ht="30" x14ac:dyDescent="0.25">
      <c r="A118" s="1" t="s">
        <v>285</v>
      </c>
      <c r="B118" s="19" t="s">
        <v>275</v>
      </c>
      <c r="C118" s="78" t="s">
        <v>286</v>
      </c>
      <c r="D118" s="19"/>
      <c r="E118" s="59">
        <f>E119</f>
        <v>120</v>
      </c>
      <c r="F118" s="59">
        <f>F119</f>
        <v>155.30000000000001</v>
      </c>
      <c r="G118" s="59">
        <f>G119</f>
        <v>95</v>
      </c>
    </row>
    <row r="119" spans="1:7" ht="30" x14ac:dyDescent="0.25">
      <c r="A119" s="1" t="s">
        <v>21</v>
      </c>
      <c r="B119" s="19" t="s">
        <v>275</v>
      </c>
      <c r="C119" s="78" t="s">
        <v>286</v>
      </c>
      <c r="D119" s="19" t="s">
        <v>48</v>
      </c>
      <c r="E119" s="60">
        <f>122.7-2.7</f>
        <v>120</v>
      </c>
      <c r="F119" s="60">
        <v>155.30000000000001</v>
      </c>
      <c r="G119" s="20">
        <v>95</v>
      </c>
    </row>
    <row r="120" spans="1:7" ht="30" x14ac:dyDescent="0.25">
      <c r="A120" s="82" t="s">
        <v>287</v>
      </c>
      <c r="B120" s="15" t="s">
        <v>275</v>
      </c>
      <c r="C120" s="78" t="s">
        <v>288</v>
      </c>
      <c r="D120" s="17"/>
      <c r="E120" s="59">
        <f>E121+E122</f>
        <v>2373.2999999999997</v>
      </c>
      <c r="F120" s="59">
        <f t="shared" ref="F120:G120" si="20">F121+F122</f>
        <v>2089.1999999999998</v>
      </c>
      <c r="G120" s="59">
        <f t="shared" si="20"/>
        <v>2169.6999999999998</v>
      </c>
    </row>
    <row r="121" spans="1:7" ht="60" x14ac:dyDescent="0.25">
      <c r="A121" s="1" t="s">
        <v>14</v>
      </c>
      <c r="B121" s="15" t="s">
        <v>275</v>
      </c>
      <c r="C121" s="78" t="s">
        <v>288</v>
      </c>
      <c r="D121" s="17">
        <v>100</v>
      </c>
      <c r="E121" s="60">
        <v>2069.6</v>
      </c>
      <c r="F121" s="60">
        <v>2089.1999999999998</v>
      </c>
      <c r="G121" s="20">
        <v>2169.6999999999998</v>
      </c>
    </row>
    <row r="122" spans="1:7" ht="30" x14ac:dyDescent="0.25">
      <c r="A122" s="1" t="s">
        <v>21</v>
      </c>
      <c r="B122" s="15" t="s">
        <v>275</v>
      </c>
      <c r="C122" s="78" t="s">
        <v>288</v>
      </c>
      <c r="D122" s="17">
        <v>200</v>
      </c>
      <c r="E122" s="60">
        <f>422.2-118.5</f>
        <v>303.7</v>
      </c>
      <c r="F122" s="60">
        <v>0</v>
      </c>
      <c r="G122" s="20">
        <v>0</v>
      </c>
    </row>
    <row r="123" spans="1:7" ht="30" x14ac:dyDescent="0.25">
      <c r="A123" s="62" t="s">
        <v>289</v>
      </c>
      <c r="B123" s="15" t="s">
        <v>275</v>
      </c>
      <c r="C123" s="16" t="s">
        <v>290</v>
      </c>
      <c r="D123" s="17"/>
      <c r="E123" s="59">
        <f t="shared" ref="E123:G124" si="21">SUM(E124)</f>
        <v>3415.8</v>
      </c>
      <c r="F123" s="59">
        <f t="shared" si="21"/>
        <v>3219</v>
      </c>
      <c r="G123" s="59">
        <f t="shared" si="21"/>
        <v>2516.5</v>
      </c>
    </row>
    <row r="124" spans="1:7" ht="30" x14ac:dyDescent="0.25">
      <c r="A124" s="62" t="s">
        <v>291</v>
      </c>
      <c r="B124" s="15" t="s">
        <v>275</v>
      </c>
      <c r="C124" s="16" t="s">
        <v>292</v>
      </c>
      <c r="D124" s="17"/>
      <c r="E124" s="59">
        <f t="shared" si="21"/>
        <v>3415.8</v>
      </c>
      <c r="F124" s="59">
        <f t="shared" si="21"/>
        <v>3219</v>
      </c>
      <c r="G124" s="59">
        <f t="shared" si="21"/>
        <v>2516.5</v>
      </c>
    </row>
    <row r="125" spans="1:7" x14ac:dyDescent="0.25">
      <c r="A125" s="62" t="s">
        <v>293</v>
      </c>
      <c r="B125" s="15" t="s">
        <v>275</v>
      </c>
      <c r="C125" s="16" t="s">
        <v>294</v>
      </c>
      <c r="D125" s="17"/>
      <c r="E125" s="59">
        <f>SUM(E126:E127)</f>
        <v>3415.8</v>
      </c>
      <c r="F125" s="59">
        <f>SUM(F126:F127)</f>
        <v>3219</v>
      </c>
      <c r="G125" s="59">
        <f>SUM(G126:G127)</f>
        <v>2516.5</v>
      </c>
    </row>
    <row r="126" spans="1:7" ht="60" x14ac:dyDescent="0.25">
      <c r="A126" s="1" t="s">
        <v>14</v>
      </c>
      <c r="B126" s="15" t="s">
        <v>275</v>
      </c>
      <c r="C126" s="16" t="s">
        <v>294</v>
      </c>
      <c r="D126" s="17">
        <v>100</v>
      </c>
      <c r="E126" s="60">
        <v>1271.2</v>
      </c>
      <c r="F126" s="60">
        <v>1283.2</v>
      </c>
      <c r="G126" s="20">
        <v>1332.7</v>
      </c>
    </row>
    <row r="127" spans="1:7" ht="30" x14ac:dyDescent="0.25">
      <c r="A127" s="1" t="s">
        <v>21</v>
      </c>
      <c r="B127" s="15" t="s">
        <v>275</v>
      </c>
      <c r="C127" s="16" t="s">
        <v>294</v>
      </c>
      <c r="D127" s="17">
        <v>200</v>
      </c>
      <c r="E127" s="60">
        <f>1529.6+615</f>
        <v>2144.6</v>
      </c>
      <c r="F127" s="60">
        <v>1935.8</v>
      </c>
      <c r="G127" s="20">
        <v>1183.8</v>
      </c>
    </row>
    <row r="128" spans="1:7" ht="45" x14ac:dyDescent="0.25">
      <c r="A128" s="66" t="s">
        <v>529</v>
      </c>
      <c r="B128" s="15" t="s">
        <v>275</v>
      </c>
      <c r="C128" s="16" t="s">
        <v>295</v>
      </c>
      <c r="D128" s="17"/>
      <c r="E128" s="59">
        <f t="shared" ref="E128:G129" si="22">SUM(E129)</f>
        <v>55759</v>
      </c>
      <c r="F128" s="59">
        <f t="shared" si="22"/>
        <v>56152</v>
      </c>
      <c r="G128" s="59">
        <f t="shared" si="22"/>
        <v>57117.1</v>
      </c>
    </row>
    <row r="129" spans="1:7" ht="30" x14ac:dyDescent="0.25">
      <c r="A129" s="1" t="s">
        <v>296</v>
      </c>
      <c r="B129" s="15" t="s">
        <v>275</v>
      </c>
      <c r="C129" s="16" t="s">
        <v>297</v>
      </c>
      <c r="D129" s="17"/>
      <c r="E129" s="59">
        <f t="shared" si="22"/>
        <v>55759</v>
      </c>
      <c r="F129" s="59">
        <f t="shared" si="22"/>
        <v>56152</v>
      </c>
      <c r="G129" s="59">
        <f t="shared" si="22"/>
        <v>57117.1</v>
      </c>
    </row>
    <row r="130" spans="1:7" ht="30" x14ac:dyDescent="0.25">
      <c r="A130" s="61" t="s">
        <v>51</v>
      </c>
      <c r="B130" s="15" t="s">
        <v>275</v>
      </c>
      <c r="C130" s="84" t="s">
        <v>298</v>
      </c>
      <c r="D130" s="17"/>
      <c r="E130" s="59">
        <f>SUM(E131:E133)</f>
        <v>55759</v>
      </c>
      <c r="F130" s="59">
        <f>SUM(F131:F133)</f>
        <v>56152</v>
      </c>
      <c r="G130" s="59">
        <f>SUM(G131:G133)</f>
        <v>57117.1</v>
      </c>
    </row>
    <row r="131" spans="1:7" ht="60" x14ac:dyDescent="0.25">
      <c r="A131" s="1" t="s">
        <v>14</v>
      </c>
      <c r="B131" s="15" t="s">
        <v>275</v>
      </c>
      <c r="C131" s="84" t="s">
        <v>299</v>
      </c>
      <c r="D131" s="17">
        <v>100</v>
      </c>
      <c r="E131" s="60">
        <f>46978.8-56.1</f>
        <v>46922.700000000004</v>
      </c>
      <c r="F131" s="60">
        <v>47423.4</v>
      </c>
      <c r="G131" s="20">
        <v>49238.7</v>
      </c>
    </row>
    <row r="132" spans="1:7" ht="30" x14ac:dyDescent="0.25">
      <c r="A132" s="1" t="s">
        <v>21</v>
      </c>
      <c r="B132" s="15" t="s">
        <v>275</v>
      </c>
      <c r="C132" s="84" t="s">
        <v>298</v>
      </c>
      <c r="D132" s="17">
        <v>200</v>
      </c>
      <c r="E132" s="60">
        <f>6773.3+991.9</f>
        <v>7765.2</v>
      </c>
      <c r="F132" s="60">
        <v>7657.5</v>
      </c>
      <c r="G132" s="20">
        <v>6807.3</v>
      </c>
    </row>
    <row r="133" spans="1:7" x14ac:dyDescent="0.25">
      <c r="A133" s="61" t="s">
        <v>22</v>
      </c>
      <c r="B133" s="15" t="s">
        <v>275</v>
      </c>
      <c r="C133" s="84" t="s">
        <v>298</v>
      </c>
      <c r="D133" s="17">
        <v>800</v>
      </c>
      <c r="E133" s="60">
        <v>1071.0999999999999</v>
      </c>
      <c r="F133" s="60">
        <v>1071.0999999999999</v>
      </c>
      <c r="G133" s="20">
        <v>1071.0999999999999</v>
      </c>
    </row>
    <row r="134" spans="1:7" x14ac:dyDescent="0.25">
      <c r="A134" s="85" t="s">
        <v>67</v>
      </c>
      <c r="B134" s="24" t="s">
        <v>68</v>
      </c>
      <c r="C134" s="24"/>
      <c r="D134" s="25"/>
      <c r="E134" s="12">
        <f>E135+E145+E155+E220+E167</f>
        <v>1234293.3999999999</v>
      </c>
      <c r="F134" s="12">
        <f>F135+F145+F155+F220+F167</f>
        <v>903158.5</v>
      </c>
      <c r="G134" s="12">
        <f>G135+G145+G155+G220+G167</f>
        <v>786481.79999999993</v>
      </c>
    </row>
    <row r="135" spans="1:7" x14ac:dyDescent="0.25">
      <c r="A135" s="86" t="s">
        <v>230</v>
      </c>
      <c r="B135" s="24" t="s">
        <v>231</v>
      </c>
      <c r="C135" s="24"/>
      <c r="D135" s="25"/>
      <c r="E135" s="12">
        <f t="shared" ref="E135:G136" si="23">SUM(E136)</f>
        <v>2778.2</v>
      </c>
      <c r="F135" s="12">
        <f t="shared" si="23"/>
        <v>1459.3</v>
      </c>
      <c r="G135" s="12">
        <f t="shared" si="23"/>
        <v>1291.3</v>
      </c>
    </row>
    <row r="136" spans="1:7" ht="45" x14ac:dyDescent="0.25">
      <c r="A136" s="66" t="s">
        <v>528</v>
      </c>
      <c r="B136" s="21" t="s">
        <v>231</v>
      </c>
      <c r="C136" s="16" t="s">
        <v>71</v>
      </c>
      <c r="D136" s="22"/>
      <c r="E136" s="59">
        <f t="shared" si="23"/>
        <v>2778.2</v>
      </c>
      <c r="F136" s="59">
        <f t="shared" si="23"/>
        <v>1459.3</v>
      </c>
      <c r="G136" s="59">
        <f t="shared" si="23"/>
        <v>1291.3</v>
      </c>
    </row>
    <row r="137" spans="1:7" ht="30" x14ac:dyDescent="0.25">
      <c r="A137" s="1" t="s">
        <v>72</v>
      </c>
      <c r="B137" s="21" t="s">
        <v>231</v>
      </c>
      <c r="C137" s="16" t="s">
        <v>73</v>
      </c>
      <c r="D137" s="22"/>
      <c r="E137" s="59">
        <f>E138</f>
        <v>2778.2</v>
      </c>
      <c r="F137" s="59">
        <f>F138</f>
        <v>1459.3</v>
      </c>
      <c r="G137" s="59">
        <f>G138</f>
        <v>1291.3</v>
      </c>
    </row>
    <row r="138" spans="1:7" ht="30" x14ac:dyDescent="0.25">
      <c r="A138" s="80" t="s">
        <v>74</v>
      </c>
      <c r="B138" s="21" t="s">
        <v>231</v>
      </c>
      <c r="C138" s="16" t="s">
        <v>75</v>
      </c>
      <c r="D138" s="22"/>
      <c r="E138" s="59">
        <f>E139+E143+E141</f>
        <v>2778.2</v>
      </c>
      <c r="F138" s="59">
        <f t="shared" ref="F138:G138" si="24">F139+F143+F141</f>
        <v>1459.3</v>
      </c>
      <c r="G138" s="59">
        <f t="shared" si="24"/>
        <v>1291.3</v>
      </c>
    </row>
    <row r="139" spans="1:7" ht="30" x14ac:dyDescent="0.25">
      <c r="A139" s="1" t="s">
        <v>232</v>
      </c>
      <c r="B139" s="21" t="s">
        <v>231</v>
      </c>
      <c r="C139" s="16" t="s">
        <v>233</v>
      </c>
      <c r="D139" s="22"/>
      <c r="E139" s="59">
        <f>SUM(E140)</f>
        <v>751.4</v>
      </c>
      <c r="F139" s="59">
        <f>SUM(F140)</f>
        <v>432.5</v>
      </c>
      <c r="G139" s="59">
        <f>SUM(G140)</f>
        <v>264.5</v>
      </c>
    </row>
    <row r="140" spans="1:7" ht="30" x14ac:dyDescent="0.25">
      <c r="A140" s="1" t="s">
        <v>21</v>
      </c>
      <c r="B140" s="21" t="s">
        <v>231</v>
      </c>
      <c r="C140" s="16" t="s">
        <v>233</v>
      </c>
      <c r="D140" s="22">
        <v>200</v>
      </c>
      <c r="E140" s="60">
        <v>751.4</v>
      </c>
      <c r="F140" s="60">
        <v>432.5</v>
      </c>
      <c r="G140" s="20">
        <v>264.5</v>
      </c>
    </row>
    <row r="141" spans="1:7" ht="78.75" x14ac:dyDescent="0.25">
      <c r="A141" s="138" t="s">
        <v>601</v>
      </c>
      <c r="B141" s="91" t="s">
        <v>231</v>
      </c>
      <c r="C141" s="16" t="s">
        <v>602</v>
      </c>
      <c r="D141" s="92"/>
      <c r="E141" s="60">
        <f>E142</f>
        <v>1000</v>
      </c>
      <c r="F141" s="60">
        <f t="shared" ref="F141:G141" si="25">F142</f>
        <v>0</v>
      </c>
      <c r="G141" s="60">
        <f t="shared" si="25"/>
        <v>0</v>
      </c>
    </row>
    <row r="142" spans="1:7" x14ac:dyDescent="0.25">
      <c r="A142" s="122" t="s">
        <v>22</v>
      </c>
      <c r="B142" s="91" t="s">
        <v>231</v>
      </c>
      <c r="C142" s="16" t="s">
        <v>602</v>
      </c>
      <c r="D142" s="92">
        <v>800</v>
      </c>
      <c r="E142" s="60">
        <v>1000</v>
      </c>
      <c r="F142" s="60">
        <v>0</v>
      </c>
      <c r="G142" s="20">
        <v>0</v>
      </c>
    </row>
    <row r="143" spans="1:7" ht="45" x14ac:dyDescent="0.25">
      <c r="A143" s="87" t="s">
        <v>492</v>
      </c>
      <c r="B143" s="21" t="s">
        <v>231</v>
      </c>
      <c r="C143" s="16" t="s">
        <v>234</v>
      </c>
      <c r="D143" s="22"/>
      <c r="E143" s="59">
        <f>E144</f>
        <v>1026.8</v>
      </c>
      <c r="F143" s="59">
        <f>F144</f>
        <v>1026.8</v>
      </c>
      <c r="G143" s="59">
        <f>G144</f>
        <v>1026.8</v>
      </c>
    </row>
    <row r="144" spans="1:7" ht="30" x14ac:dyDescent="0.25">
      <c r="A144" s="1" t="s">
        <v>21</v>
      </c>
      <c r="B144" s="21" t="s">
        <v>231</v>
      </c>
      <c r="C144" s="16" t="s">
        <v>234</v>
      </c>
      <c r="D144" s="22">
        <v>200</v>
      </c>
      <c r="E144" s="20">
        <f>1096.6-69.8</f>
        <v>1026.8</v>
      </c>
      <c r="F144" s="20">
        <f>1096.6-69.8</f>
        <v>1026.8</v>
      </c>
      <c r="G144" s="20">
        <f>1096.6-69.8</f>
        <v>1026.8</v>
      </c>
    </row>
    <row r="145" spans="1:7" x14ac:dyDescent="0.25">
      <c r="A145" s="85" t="s">
        <v>69</v>
      </c>
      <c r="B145" s="24" t="s">
        <v>70</v>
      </c>
      <c r="C145" s="24"/>
      <c r="D145" s="25"/>
      <c r="E145" s="12">
        <f t="shared" ref="E145:G147" si="26">SUM(E146)</f>
        <v>214993.8</v>
      </c>
      <c r="F145" s="12">
        <f t="shared" si="26"/>
        <v>2903.8</v>
      </c>
      <c r="G145" s="12">
        <f t="shared" si="26"/>
        <v>2903.8</v>
      </c>
    </row>
    <row r="146" spans="1:7" ht="45" x14ac:dyDescent="0.25">
      <c r="A146" s="79" t="s">
        <v>528</v>
      </c>
      <c r="B146" s="21" t="s">
        <v>70</v>
      </c>
      <c r="C146" s="81" t="s">
        <v>71</v>
      </c>
      <c r="D146" s="22"/>
      <c r="E146" s="59">
        <f t="shared" si="26"/>
        <v>214993.8</v>
      </c>
      <c r="F146" s="59">
        <f t="shared" si="26"/>
        <v>2903.8</v>
      </c>
      <c r="G146" s="59">
        <f t="shared" si="26"/>
        <v>2903.8</v>
      </c>
    </row>
    <row r="147" spans="1:7" ht="30" x14ac:dyDescent="0.25">
      <c r="A147" s="80" t="s">
        <v>72</v>
      </c>
      <c r="B147" s="21" t="s">
        <v>70</v>
      </c>
      <c r="C147" s="81" t="s">
        <v>73</v>
      </c>
      <c r="D147" s="22"/>
      <c r="E147" s="59">
        <f t="shared" si="26"/>
        <v>214993.8</v>
      </c>
      <c r="F147" s="59">
        <f t="shared" si="26"/>
        <v>2903.8</v>
      </c>
      <c r="G147" s="59">
        <f t="shared" si="26"/>
        <v>2903.8</v>
      </c>
    </row>
    <row r="148" spans="1:7" ht="30" x14ac:dyDescent="0.25">
      <c r="A148" s="80" t="s">
        <v>74</v>
      </c>
      <c r="B148" s="21" t="s">
        <v>70</v>
      </c>
      <c r="C148" s="81" t="s">
        <v>75</v>
      </c>
      <c r="D148" s="22"/>
      <c r="E148" s="59">
        <f>SUM(E151)+E149+E153</f>
        <v>214993.8</v>
      </c>
      <c r="F148" s="59">
        <f>SUM(F151)+F149+F153</f>
        <v>2903.8</v>
      </c>
      <c r="G148" s="59">
        <f>SUM(G151)+G149+G153</f>
        <v>2903.8</v>
      </c>
    </row>
    <row r="149" spans="1:7" ht="45" x14ac:dyDescent="0.25">
      <c r="A149" s="79" t="s">
        <v>624</v>
      </c>
      <c r="B149" s="81" t="s">
        <v>70</v>
      </c>
      <c r="C149" s="81" t="s">
        <v>431</v>
      </c>
      <c r="D149" s="88"/>
      <c r="E149" s="59">
        <f>E150</f>
        <v>4503.8</v>
      </c>
      <c r="F149" s="59">
        <f>F150</f>
        <v>2903.8</v>
      </c>
      <c r="G149" s="59">
        <f>G150</f>
        <v>2903.8</v>
      </c>
    </row>
    <row r="150" spans="1:7" ht="30" x14ac:dyDescent="0.25">
      <c r="A150" s="1" t="s">
        <v>21</v>
      </c>
      <c r="B150" s="81" t="s">
        <v>70</v>
      </c>
      <c r="C150" s="81" t="s">
        <v>431</v>
      </c>
      <c r="D150" s="88">
        <v>200</v>
      </c>
      <c r="E150" s="60">
        <f>2903.8+1600</f>
        <v>4503.8</v>
      </c>
      <c r="F150" s="60">
        <v>2903.8</v>
      </c>
      <c r="G150" s="20">
        <v>2903.8</v>
      </c>
    </row>
    <row r="151" spans="1:7" ht="30" x14ac:dyDescent="0.25">
      <c r="A151" s="89" t="s">
        <v>76</v>
      </c>
      <c r="B151" s="21" t="s">
        <v>70</v>
      </c>
      <c r="C151" s="81" t="s">
        <v>77</v>
      </c>
      <c r="D151" s="22"/>
      <c r="E151" s="59">
        <f>SUM(E152)</f>
        <v>14100</v>
      </c>
      <c r="F151" s="59">
        <f>SUM(F152)</f>
        <v>0</v>
      </c>
      <c r="G151" s="59">
        <f>SUM(G152)</f>
        <v>0</v>
      </c>
    </row>
    <row r="152" spans="1:7" ht="30" x14ac:dyDescent="0.25">
      <c r="A152" s="82" t="s">
        <v>78</v>
      </c>
      <c r="B152" s="21" t="s">
        <v>70</v>
      </c>
      <c r="C152" s="81" t="s">
        <v>77</v>
      </c>
      <c r="D152" s="22">
        <v>400</v>
      </c>
      <c r="E152" s="60">
        <v>14100</v>
      </c>
      <c r="F152" s="59">
        <v>0</v>
      </c>
      <c r="G152" s="59">
        <v>0</v>
      </c>
    </row>
    <row r="153" spans="1:7" ht="45" x14ac:dyDescent="0.25">
      <c r="A153" s="90" t="s">
        <v>493</v>
      </c>
      <c r="B153" s="91" t="s">
        <v>70</v>
      </c>
      <c r="C153" s="91" t="s">
        <v>482</v>
      </c>
      <c r="D153" s="92"/>
      <c r="E153" s="20">
        <f>E154</f>
        <v>196390</v>
      </c>
      <c r="F153" s="20">
        <f t="shared" ref="F153:G153" si="27">F154</f>
        <v>0</v>
      </c>
      <c r="G153" s="20">
        <f t="shared" si="27"/>
        <v>0</v>
      </c>
    </row>
    <row r="154" spans="1:7" ht="30" x14ac:dyDescent="0.25">
      <c r="A154" s="87" t="s">
        <v>78</v>
      </c>
      <c r="B154" s="91" t="s">
        <v>70</v>
      </c>
      <c r="C154" s="91" t="s">
        <v>482</v>
      </c>
      <c r="D154" s="92">
        <v>400</v>
      </c>
      <c r="E154" s="60">
        <v>196390</v>
      </c>
      <c r="F154" s="59">
        <v>0</v>
      </c>
      <c r="G154" s="59">
        <v>0</v>
      </c>
    </row>
    <row r="155" spans="1:7" x14ac:dyDescent="0.25">
      <c r="A155" s="85" t="s">
        <v>79</v>
      </c>
      <c r="B155" s="24" t="s">
        <v>80</v>
      </c>
      <c r="C155" s="24"/>
      <c r="D155" s="25"/>
      <c r="E155" s="12">
        <f>SUM(E156)</f>
        <v>44132.3</v>
      </c>
      <c r="F155" s="12">
        <f>SUM(F156)</f>
        <v>48535.9</v>
      </c>
      <c r="G155" s="12">
        <f>SUM(G156)</f>
        <v>31642.799999999999</v>
      </c>
    </row>
    <row r="156" spans="1:7" ht="30" x14ac:dyDescent="0.25">
      <c r="A156" s="79" t="s">
        <v>530</v>
      </c>
      <c r="B156" s="21" t="s">
        <v>80</v>
      </c>
      <c r="C156" s="81" t="s">
        <v>81</v>
      </c>
      <c r="D156" s="88"/>
      <c r="E156" s="59">
        <f>SUM(E157)</f>
        <v>44132.3</v>
      </c>
      <c r="F156" s="59">
        <f t="shared" ref="F156:G156" si="28">SUM(F157)</f>
        <v>48535.9</v>
      </c>
      <c r="G156" s="59">
        <f t="shared" si="28"/>
        <v>31642.799999999999</v>
      </c>
    </row>
    <row r="157" spans="1:7" ht="30" x14ac:dyDescent="0.25">
      <c r="A157" s="80" t="s">
        <v>82</v>
      </c>
      <c r="B157" s="21" t="s">
        <v>80</v>
      </c>
      <c r="C157" s="81" t="s">
        <v>83</v>
      </c>
      <c r="D157" s="88"/>
      <c r="E157" s="59">
        <f>SUM(E158)</f>
        <v>44132.3</v>
      </c>
      <c r="F157" s="59">
        <f>SUM(F158)</f>
        <v>48535.9</v>
      </c>
      <c r="G157" s="59">
        <f>SUM(G158)</f>
        <v>31642.799999999999</v>
      </c>
    </row>
    <row r="158" spans="1:7" ht="45" x14ac:dyDescent="0.25">
      <c r="A158" s="80" t="s">
        <v>84</v>
      </c>
      <c r="B158" s="21" t="s">
        <v>80</v>
      </c>
      <c r="C158" s="81" t="s">
        <v>85</v>
      </c>
      <c r="D158" s="88"/>
      <c r="E158" s="59">
        <f>SUM(E159+E161+E163+E165)</f>
        <v>44132.3</v>
      </c>
      <c r="F158" s="59">
        <f>SUM(F159+F161+F163+F165)</f>
        <v>48535.9</v>
      </c>
      <c r="G158" s="59">
        <f>SUM(G159+G161+G163+G165)</f>
        <v>31642.799999999999</v>
      </c>
    </row>
    <row r="159" spans="1:7" ht="30" x14ac:dyDescent="0.25">
      <c r="A159" s="82" t="s">
        <v>57</v>
      </c>
      <c r="B159" s="21" t="s">
        <v>80</v>
      </c>
      <c r="C159" s="81" t="s">
        <v>86</v>
      </c>
      <c r="D159" s="88"/>
      <c r="E159" s="59">
        <f>SUM(E160)</f>
        <v>4771.1000000000004</v>
      </c>
      <c r="F159" s="59">
        <f>SUM(F160)</f>
        <v>4877</v>
      </c>
      <c r="G159" s="59">
        <f>SUM(G160)</f>
        <v>4942.7</v>
      </c>
    </row>
    <row r="160" spans="1:7" ht="30" x14ac:dyDescent="0.25">
      <c r="A160" s="82" t="s">
        <v>58</v>
      </c>
      <c r="B160" s="21" t="s">
        <v>80</v>
      </c>
      <c r="C160" s="81" t="s">
        <v>86</v>
      </c>
      <c r="D160" s="88">
        <v>600</v>
      </c>
      <c r="E160" s="60">
        <v>4771.1000000000004</v>
      </c>
      <c r="F160" s="60">
        <v>4877</v>
      </c>
      <c r="G160" s="20">
        <v>4942.7</v>
      </c>
    </row>
    <row r="161" spans="1:7" ht="45" x14ac:dyDescent="0.25">
      <c r="A161" s="80" t="s">
        <v>87</v>
      </c>
      <c r="B161" s="21" t="s">
        <v>80</v>
      </c>
      <c r="C161" s="21" t="s">
        <v>88</v>
      </c>
      <c r="D161" s="22"/>
      <c r="E161" s="59">
        <f>SUM(E162)</f>
        <v>28230</v>
      </c>
      <c r="F161" s="59">
        <f>SUM(F162)</f>
        <v>35726.300000000003</v>
      </c>
      <c r="G161" s="59">
        <f>SUM(G162)</f>
        <v>21848.799999999999</v>
      </c>
    </row>
    <row r="162" spans="1:7" x14ac:dyDescent="0.25">
      <c r="A162" s="82" t="s">
        <v>22</v>
      </c>
      <c r="B162" s="21" t="s">
        <v>80</v>
      </c>
      <c r="C162" s="21" t="s">
        <v>88</v>
      </c>
      <c r="D162" s="22">
        <v>800</v>
      </c>
      <c r="E162" s="60">
        <v>28230</v>
      </c>
      <c r="F162" s="60">
        <v>35726.300000000003</v>
      </c>
      <c r="G162" s="20">
        <v>21848.799999999999</v>
      </c>
    </row>
    <row r="163" spans="1:7" ht="75" x14ac:dyDescent="0.25">
      <c r="A163" s="79" t="s">
        <v>452</v>
      </c>
      <c r="B163" s="21" t="s">
        <v>80</v>
      </c>
      <c r="C163" s="21" t="s">
        <v>89</v>
      </c>
      <c r="D163" s="22"/>
      <c r="E163" s="59">
        <f>SUM(E164)</f>
        <v>10873.2</v>
      </c>
      <c r="F163" s="59">
        <f>SUM(F164)</f>
        <v>7606.1</v>
      </c>
      <c r="G163" s="59">
        <f>SUM(G164)</f>
        <v>4651.6000000000004</v>
      </c>
    </row>
    <row r="164" spans="1:7" x14ac:dyDescent="0.25">
      <c r="A164" s="82" t="s">
        <v>22</v>
      </c>
      <c r="B164" s="21" t="s">
        <v>80</v>
      </c>
      <c r="C164" s="21" t="s">
        <v>89</v>
      </c>
      <c r="D164" s="22">
        <v>800</v>
      </c>
      <c r="E164" s="60">
        <f>6010.2+4863</f>
        <v>10873.2</v>
      </c>
      <c r="F164" s="60">
        <v>7606.1</v>
      </c>
      <c r="G164" s="20">
        <v>4651.6000000000004</v>
      </c>
    </row>
    <row r="165" spans="1:7" ht="75" x14ac:dyDescent="0.25">
      <c r="A165" s="93" t="s">
        <v>90</v>
      </c>
      <c r="B165" s="21" t="s">
        <v>80</v>
      </c>
      <c r="C165" s="21" t="s">
        <v>91</v>
      </c>
      <c r="D165" s="22"/>
      <c r="E165" s="59">
        <f>SUM(E166)</f>
        <v>258</v>
      </c>
      <c r="F165" s="59">
        <f>SUM(F166)</f>
        <v>326.5</v>
      </c>
      <c r="G165" s="59">
        <f>SUM(G166)</f>
        <v>199.7</v>
      </c>
    </row>
    <row r="166" spans="1:7" x14ac:dyDescent="0.25">
      <c r="A166" s="82" t="s">
        <v>22</v>
      </c>
      <c r="B166" s="21" t="s">
        <v>80</v>
      </c>
      <c r="C166" s="21" t="s">
        <v>91</v>
      </c>
      <c r="D166" s="22">
        <v>800</v>
      </c>
      <c r="E166" s="60">
        <v>258</v>
      </c>
      <c r="F166" s="60">
        <v>326.5</v>
      </c>
      <c r="G166" s="20">
        <v>199.7</v>
      </c>
    </row>
    <row r="167" spans="1:7" x14ac:dyDescent="0.25">
      <c r="A167" s="85" t="s">
        <v>92</v>
      </c>
      <c r="B167" s="24" t="s">
        <v>93</v>
      </c>
      <c r="C167" s="24"/>
      <c r="D167" s="25"/>
      <c r="E167" s="12">
        <f>SUM(E168+E215)</f>
        <v>945054</v>
      </c>
      <c r="F167" s="12">
        <f>SUM(F168+F215)</f>
        <v>828878</v>
      </c>
      <c r="G167" s="12">
        <f>SUM(G168+G215)</f>
        <v>740098.7</v>
      </c>
    </row>
    <row r="168" spans="1:7" ht="30" x14ac:dyDescent="0.25">
      <c r="A168" s="79" t="s">
        <v>530</v>
      </c>
      <c r="B168" s="21" t="s">
        <v>93</v>
      </c>
      <c r="C168" s="81" t="s">
        <v>81</v>
      </c>
      <c r="D168" s="22"/>
      <c r="E168" s="59">
        <f t="shared" ref="E168:G168" si="29">SUM(E169)</f>
        <v>944995</v>
      </c>
      <c r="F168" s="59">
        <f t="shared" si="29"/>
        <v>828878</v>
      </c>
      <c r="G168" s="59">
        <f t="shared" si="29"/>
        <v>740098.7</v>
      </c>
    </row>
    <row r="169" spans="1:7" ht="30" x14ac:dyDescent="0.25">
      <c r="A169" s="80" t="s">
        <v>94</v>
      </c>
      <c r="B169" s="21" t="s">
        <v>93</v>
      </c>
      <c r="C169" s="81" t="s">
        <v>95</v>
      </c>
      <c r="D169" s="22"/>
      <c r="E169" s="59">
        <f>SUM(E174)+E170+E172</f>
        <v>944995</v>
      </c>
      <c r="F169" s="59">
        <f t="shared" ref="F169:G169" si="30">SUM(F174)+F170+F172</f>
        <v>828878</v>
      </c>
      <c r="G169" s="59">
        <f t="shared" si="30"/>
        <v>740098.7</v>
      </c>
    </row>
    <row r="170" spans="1:7" ht="45" x14ac:dyDescent="0.25">
      <c r="A170" s="87" t="s">
        <v>578</v>
      </c>
      <c r="B170" s="91" t="s">
        <v>93</v>
      </c>
      <c r="C170" s="91" t="s">
        <v>579</v>
      </c>
      <c r="D170" s="92"/>
      <c r="E170" s="59">
        <f>E171</f>
        <v>385418.1</v>
      </c>
      <c r="F170" s="59">
        <f t="shared" ref="F170:G170" si="31">F171</f>
        <v>315742</v>
      </c>
      <c r="G170" s="59">
        <f t="shared" si="31"/>
        <v>329952</v>
      </c>
    </row>
    <row r="171" spans="1:7" ht="30" x14ac:dyDescent="0.25">
      <c r="A171" s="66" t="s">
        <v>21</v>
      </c>
      <c r="B171" s="91" t="s">
        <v>93</v>
      </c>
      <c r="C171" s="91" t="s">
        <v>579</v>
      </c>
      <c r="D171" s="92">
        <v>200</v>
      </c>
      <c r="E171" s="59">
        <f>10630.1+375268-480</f>
        <v>385418.1</v>
      </c>
      <c r="F171" s="59">
        <v>315742</v>
      </c>
      <c r="G171" s="59">
        <v>329952</v>
      </c>
    </row>
    <row r="172" spans="1:7" ht="45" x14ac:dyDescent="0.25">
      <c r="A172" s="140" t="s">
        <v>610</v>
      </c>
      <c r="B172" s="91" t="s">
        <v>93</v>
      </c>
      <c r="C172" s="91" t="s">
        <v>611</v>
      </c>
      <c r="D172" s="92"/>
      <c r="E172" s="59">
        <f>E173</f>
        <v>91732</v>
      </c>
      <c r="F172" s="59">
        <f t="shared" ref="F172:G172" si="32">F173</f>
        <v>204258</v>
      </c>
      <c r="G172" s="59">
        <f t="shared" si="32"/>
        <v>180048</v>
      </c>
    </row>
    <row r="173" spans="1:7" ht="30" x14ac:dyDescent="0.25">
      <c r="A173" s="66" t="s">
        <v>21</v>
      </c>
      <c r="B173" s="91" t="s">
        <v>93</v>
      </c>
      <c r="C173" s="91" t="s">
        <v>611</v>
      </c>
      <c r="D173" s="92">
        <v>200</v>
      </c>
      <c r="E173" s="59">
        <v>91732</v>
      </c>
      <c r="F173" s="59">
        <v>204258</v>
      </c>
      <c r="G173" s="59">
        <v>180048</v>
      </c>
    </row>
    <row r="174" spans="1:7" ht="30" x14ac:dyDescent="0.25">
      <c r="A174" s="82" t="s">
        <v>96</v>
      </c>
      <c r="B174" s="21" t="s">
        <v>93</v>
      </c>
      <c r="C174" s="81" t="s">
        <v>97</v>
      </c>
      <c r="D174" s="22"/>
      <c r="E174" s="59">
        <f>E203+E177+E181+E185+E187+E193+E197+E211+E195+E179+E189+E183+E207+E209+E213+E201+E199+E175</f>
        <v>467844.89999999997</v>
      </c>
      <c r="F174" s="59">
        <f>F203+F177+F181+F185+F187+F193+F197+F211+F195+F179+F189+F183+F207+F209+F213+F201+F199+F175</f>
        <v>308878</v>
      </c>
      <c r="G174" s="59">
        <f>G203+G177+G181+G185+G187+G193+G197+G211+G195+G179+G189+G183+G207+G209+G213+G201+G199+G175</f>
        <v>230098.7</v>
      </c>
    </row>
    <row r="175" spans="1:7" ht="30" x14ac:dyDescent="0.25">
      <c r="A175" s="87" t="s">
        <v>568</v>
      </c>
      <c r="B175" s="91" t="s">
        <v>93</v>
      </c>
      <c r="C175" s="91" t="s">
        <v>586</v>
      </c>
      <c r="D175" s="92"/>
      <c r="E175" s="59">
        <f>E176</f>
        <v>826.3</v>
      </c>
      <c r="F175" s="59">
        <f t="shared" ref="F175:G175" si="33">F176</f>
        <v>0</v>
      </c>
      <c r="G175" s="59">
        <f t="shared" si="33"/>
        <v>0</v>
      </c>
    </row>
    <row r="176" spans="1:7" x14ac:dyDescent="0.25">
      <c r="A176" s="87" t="s">
        <v>22</v>
      </c>
      <c r="B176" s="91" t="s">
        <v>93</v>
      </c>
      <c r="C176" s="91" t="s">
        <v>586</v>
      </c>
      <c r="D176" s="92">
        <v>800</v>
      </c>
      <c r="E176" s="59">
        <f>613+213.3</f>
        <v>826.3</v>
      </c>
      <c r="F176" s="59">
        <v>0</v>
      </c>
      <c r="G176" s="59">
        <v>0</v>
      </c>
    </row>
    <row r="177" spans="1:7" ht="45.6" customHeight="1" x14ac:dyDescent="0.25">
      <c r="A177" s="94" t="s">
        <v>546</v>
      </c>
      <c r="B177" s="21" t="s">
        <v>93</v>
      </c>
      <c r="C177" s="21" t="s">
        <v>446</v>
      </c>
      <c r="D177" s="22"/>
      <c r="E177" s="59">
        <f>SUM(E178)</f>
        <v>0</v>
      </c>
      <c r="F177" s="59">
        <f>SUM(F178)</f>
        <v>10000</v>
      </c>
      <c r="G177" s="59">
        <f>SUM(G178)</f>
        <v>2500</v>
      </c>
    </row>
    <row r="178" spans="1:7" ht="30" x14ac:dyDescent="0.25">
      <c r="A178" s="23" t="s">
        <v>78</v>
      </c>
      <c r="B178" s="21" t="s">
        <v>93</v>
      </c>
      <c r="C178" s="21" t="s">
        <v>446</v>
      </c>
      <c r="D178" s="22">
        <v>400</v>
      </c>
      <c r="E178" s="60">
        <v>0</v>
      </c>
      <c r="F178" s="60">
        <v>10000</v>
      </c>
      <c r="G178" s="20">
        <v>2500</v>
      </c>
    </row>
    <row r="179" spans="1:7" ht="60" x14ac:dyDescent="0.25">
      <c r="A179" s="95" t="s">
        <v>547</v>
      </c>
      <c r="B179" s="21" t="s">
        <v>93</v>
      </c>
      <c r="C179" s="21" t="s">
        <v>453</v>
      </c>
      <c r="D179" s="64"/>
      <c r="E179" s="20">
        <f>E180</f>
        <v>0</v>
      </c>
      <c r="F179" s="20">
        <f t="shared" ref="F179:G179" si="34">F180</f>
        <v>7948.3</v>
      </c>
      <c r="G179" s="20">
        <f t="shared" si="34"/>
        <v>4375</v>
      </c>
    </row>
    <row r="180" spans="1:7" ht="30" x14ac:dyDescent="0.25">
      <c r="A180" s="95" t="s">
        <v>78</v>
      </c>
      <c r="B180" s="21" t="s">
        <v>93</v>
      </c>
      <c r="C180" s="21" t="s">
        <v>453</v>
      </c>
      <c r="D180" s="64">
        <v>400</v>
      </c>
      <c r="E180" s="60">
        <v>0</v>
      </c>
      <c r="F180" s="60">
        <f>8500-551.7</f>
        <v>7948.3</v>
      </c>
      <c r="G180" s="20">
        <v>4375</v>
      </c>
    </row>
    <row r="181" spans="1:7" ht="30" x14ac:dyDescent="0.25">
      <c r="A181" s="95" t="s">
        <v>548</v>
      </c>
      <c r="B181" s="21" t="s">
        <v>93</v>
      </c>
      <c r="C181" s="21" t="s">
        <v>494</v>
      </c>
      <c r="D181" s="64"/>
      <c r="E181" s="60">
        <f>SUM(E182)</f>
        <v>0</v>
      </c>
      <c r="F181" s="60">
        <f t="shared" ref="F181:G181" si="35">SUM(F182)</f>
        <v>0</v>
      </c>
      <c r="G181" s="60">
        <f t="shared" si="35"/>
        <v>5000</v>
      </c>
    </row>
    <row r="182" spans="1:7" ht="30" x14ac:dyDescent="0.25">
      <c r="A182" s="66" t="s">
        <v>21</v>
      </c>
      <c r="B182" s="21" t="s">
        <v>93</v>
      </c>
      <c r="C182" s="21" t="s">
        <v>494</v>
      </c>
      <c r="D182" s="64">
        <v>200</v>
      </c>
      <c r="E182" s="60">
        <v>0</v>
      </c>
      <c r="F182" s="60">
        <v>0</v>
      </c>
      <c r="G182" s="20">
        <v>5000</v>
      </c>
    </row>
    <row r="183" spans="1:7" ht="30" x14ac:dyDescent="0.25">
      <c r="A183" s="79" t="s">
        <v>476</v>
      </c>
      <c r="B183" s="91" t="s">
        <v>93</v>
      </c>
      <c r="C183" s="91" t="s">
        <v>447</v>
      </c>
      <c r="D183" s="92"/>
      <c r="E183" s="60">
        <f>SUM(E184)</f>
        <v>0</v>
      </c>
      <c r="F183" s="60">
        <f t="shared" ref="F183:G183" si="36">SUM(F184)</f>
        <v>2300</v>
      </c>
      <c r="G183" s="60">
        <f t="shared" si="36"/>
        <v>2300</v>
      </c>
    </row>
    <row r="184" spans="1:7" ht="30" x14ac:dyDescent="0.25">
      <c r="A184" s="66" t="s">
        <v>21</v>
      </c>
      <c r="B184" s="91" t="s">
        <v>93</v>
      </c>
      <c r="C184" s="91" t="s">
        <v>447</v>
      </c>
      <c r="D184" s="92">
        <v>200</v>
      </c>
      <c r="E184" s="60">
        <v>0</v>
      </c>
      <c r="F184" s="60">
        <v>2300</v>
      </c>
      <c r="G184" s="20">
        <v>2300</v>
      </c>
    </row>
    <row r="185" spans="1:7" ht="45" x14ac:dyDescent="0.25">
      <c r="A185" s="66" t="s">
        <v>460</v>
      </c>
      <c r="B185" s="91" t="s">
        <v>93</v>
      </c>
      <c r="C185" s="91" t="s">
        <v>448</v>
      </c>
      <c r="D185" s="92"/>
      <c r="E185" s="20">
        <f>SUM(E186)</f>
        <v>4209.8999999999996</v>
      </c>
      <c r="F185" s="20">
        <f>SUM(F186)</f>
        <v>5000</v>
      </c>
      <c r="G185" s="20">
        <f>SUM(G186)</f>
        <v>5000</v>
      </c>
    </row>
    <row r="186" spans="1:7" ht="30" x14ac:dyDescent="0.25">
      <c r="A186" s="23" t="s">
        <v>78</v>
      </c>
      <c r="B186" s="91" t="s">
        <v>93</v>
      </c>
      <c r="C186" s="91" t="s">
        <v>448</v>
      </c>
      <c r="D186" s="92">
        <v>400</v>
      </c>
      <c r="E186" s="60">
        <v>4209.8999999999996</v>
      </c>
      <c r="F186" s="60">
        <v>5000</v>
      </c>
      <c r="G186" s="20">
        <v>5000</v>
      </c>
    </row>
    <row r="187" spans="1:7" ht="60" x14ac:dyDescent="0.25">
      <c r="A187" s="66" t="s">
        <v>549</v>
      </c>
      <c r="B187" s="91" t="s">
        <v>93</v>
      </c>
      <c r="C187" s="91" t="s">
        <v>449</v>
      </c>
      <c r="D187" s="92"/>
      <c r="E187" s="20">
        <f>SUM(E188)</f>
        <v>6800</v>
      </c>
      <c r="F187" s="20">
        <f>SUM(F188)</f>
        <v>3000</v>
      </c>
      <c r="G187" s="20">
        <f>SUM(G188)</f>
        <v>3000</v>
      </c>
    </row>
    <row r="188" spans="1:7" ht="30" x14ac:dyDescent="0.25">
      <c r="A188" s="23" t="s">
        <v>78</v>
      </c>
      <c r="B188" s="91" t="s">
        <v>93</v>
      </c>
      <c r="C188" s="91" t="s">
        <v>449</v>
      </c>
      <c r="D188" s="92">
        <v>400</v>
      </c>
      <c r="E188" s="60">
        <f>8400-1600</f>
        <v>6800</v>
      </c>
      <c r="F188" s="60">
        <v>3000</v>
      </c>
      <c r="G188" s="20">
        <v>3000</v>
      </c>
    </row>
    <row r="189" spans="1:7" ht="30" x14ac:dyDescent="0.25">
      <c r="A189" s="23" t="s">
        <v>550</v>
      </c>
      <c r="B189" s="96" t="s">
        <v>93</v>
      </c>
      <c r="C189" s="91" t="s">
        <v>478</v>
      </c>
      <c r="D189" s="92"/>
      <c r="E189" s="20">
        <f>E190</f>
        <v>4850</v>
      </c>
      <c r="F189" s="20">
        <f t="shared" ref="F189:G189" si="37">F190</f>
        <v>5000</v>
      </c>
      <c r="G189" s="20">
        <f t="shared" si="37"/>
        <v>5000</v>
      </c>
    </row>
    <row r="190" spans="1:7" ht="30" x14ac:dyDescent="0.25">
      <c r="A190" s="23" t="s">
        <v>78</v>
      </c>
      <c r="B190" s="96" t="s">
        <v>93</v>
      </c>
      <c r="C190" s="91" t="s">
        <v>478</v>
      </c>
      <c r="D190" s="92">
        <v>400</v>
      </c>
      <c r="E190" s="60">
        <v>4850</v>
      </c>
      <c r="F190" s="60">
        <v>5000</v>
      </c>
      <c r="G190" s="20">
        <v>5000</v>
      </c>
    </row>
    <row r="191" spans="1:7" ht="60" hidden="1" x14ac:dyDescent="0.25">
      <c r="A191" s="142" t="s">
        <v>237</v>
      </c>
      <c r="B191" s="91" t="s">
        <v>93</v>
      </c>
      <c r="C191" s="91" t="s">
        <v>238</v>
      </c>
      <c r="D191" s="92"/>
      <c r="E191" s="60">
        <f>E192</f>
        <v>0</v>
      </c>
      <c r="F191" s="60">
        <f t="shared" ref="F191:G191" si="38">F192</f>
        <v>0</v>
      </c>
      <c r="G191" s="60">
        <f t="shared" si="38"/>
        <v>0</v>
      </c>
    </row>
    <row r="192" spans="1:7" hidden="1" x14ac:dyDescent="0.25">
      <c r="A192" s="133" t="s">
        <v>22</v>
      </c>
      <c r="B192" s="91" t="s">
        <v>93</v>
      </c>
      <c r="C192" s="91" t="s">
        <v>238</v>
      </c>
      <c r="D192" s="92">
        <v>800</v>
      </c>
      <c r="E192" s="60"/>
      <c r="F192" s="60"/>
      <c r="G192" s="20"/>
    </row>
    <row r="193" spans="1:7" ht="30" x14ac:dyDescent="0.25">
      <c r="A193" s="80" t="s">
        <v>235</v>
      </c>
      <c r="B193" s="21" t="s">
        <v>93</v>
      </c>
      <c r="C193" s="21" t="s">
        <v>236</v>
      </c>
      <c r="D193" s="22"/>
      <c r="E193" s="59">
        <f>SUM(E194)</f>
        <v>69820.200000000012</v>
      </c>
      <c r="F193" s="59">
        <f>SUM(F194)</f>
        <v>0</v>
      </c>
      <c r="G193" s="59">
        <f>SUM(G194)</f>
        <v>20818</v>
      </c>
    </row>
    <row r="194" spans="1:7" x14ac:dyDescent="0.25">
      <c r="A194" s="82" t="s">
        <v>22</v>
      </c>
      <c r="B194" s="21" t="s">
        <v>93</v>
      </c>
      <c r="C194" s="21" t="s">
        <v>236</v>
      </c>
      <c r="D194" s="22">
        <v>800</v>
      </c>
      <c r="E194" s="60">
        <f>190426.1-150731.3+20187.7+6207+3730.7</f>
        <v>69820.200000000012</v>
      </c>
      <c r="F194" s="60">
        <f>217509.7-217509.7</f>
        <v>0</v>
      </c>
      <c r="G194" s="20">
        <v>20818</v>
      </c>
    </row>
    <row r="195" spans="1:7" x14ac:dyDescent="0.25">
      <c r="A195" s="79" t="s">
        <v>466</v>
      </c>
      <c r="B195" s="91" t="s">
        <v>93</v>
      </c>
      <c r="C195" s="91" t="s">
        <v>465</v>
      </c>
      <c r="D195" s="92"/>
      <c r="E195" s="20">
        <f>E196</f>
        <v>55550.899999999994</v>
      </c>
      <c r="F195" s="20">
        <f t="shared" ref="F195:G195" si="39">F196</f>
        <v>0</v>
      </c>
      <c r="G195" s="20">
        <f t="shared" si="39"/>
        <v>0</v>
      </c>
    </row>
    <row r="196" spans="1:7" ht="30" x14ac:dyDescent="0.25">
      <c r="A196" s="66" t="s">
        <v>21</v>
      </c>
      <c r="B196" s="91" t="s">
        <v>93</v>
      </c>
      <c r="C196" s="91" t="s">
        <v>465</v>
      </c>
      <c r="D196" s="92">
        <v>200</v>
      </c>
      <c r="E196" s="60">
        <f>49621.2+5929.7</f>
        <v>55550.899999999994</v>
      </c>
      <c r="F196" s="20">
        <v>0</v>
      </c>
      <c r="G196" s="20">
        <v>0</v>
      </c>
    </row>
    <row r="197" spans="1:7" ht="60" x14ac:dyDescent="0.25">
      <c r="A197" s="142" t="s">
        <v>237</v>
      </c>
      <c r="B197" s="21" t="s">
        <v>93</v>
      </c>
      <c r="C197" s="21" t="s">
        <v>238</v>
      </c>
      <c r="D197" s="22"/>
      <c r="E197" s="59">
        <f>SUM(E198)</f>
        <v>1500</v>
      </c>
      <c r="F197" s="59">
        <f>SUM(F198)</f>
        <v>0</v>
      </c>
      <c r="G197" s="59">
        <f>SUM(G198)</f>
        <v>0</v>
      </c>
    </row>
    <row r="198" spans="1:7" x14ac:dyDescent="0.25">
      <c r="A198" s="133" t="s">
        <v>22</v>
      </c>
      <c r="B198" s="21" t="s">
        <v>93</v>
      </c>
      <c r="C198" s="21" t="s">
        <v>238</v>
      </c>
      <c r="D198" s="22">
        <v>800</v>
      </c>
      <c r="E198" s="60">
        <v>1500</v>
      </c>
      <c r="F198" s="60">
        <f>2101.9-2101.9</f>
        <v>0</v>
      </c>
      <c r="G198" s="20">
        <f>1285.4-1285.4</f>
        <v>0</v>
      </c>
    </row>
    <row r="199" spans="1:7" ht="45" x14ac:dyDescent="0.25">
      <c r="A199" s="79" t="s">
        <v>239</v>
      </c>
      <c r="B199" s="91" t="s">
        <v>93</v>
      </c>
      <c r="C199" s="91" t="s">
        <v>240</v>
      </c>
      <c r="D199" s="92"/>
      <c r="E199" s="60">
        <f>E200</f>
        <v>15350.3</v>
      </c>
      <c r="F199" s="60">
        <f t="shared" ref="F199:G199" si="40">F200</f>
        <v>0</v>
      </c>
      <c r="G199" s="60">
        <f t="shared" si="40"/>
        <v>0</v>
      </c>
    </row>
    <row r="200" spans="1:7" x14ac:dyDescent="0.25">
      <c r="A200" s="87" t="s">
        <v>22</v>
      </c>
      <c r="B200" s="91" t="s">
        <v>93</v>
      </c>
      <c r="C200" s="91" t="s">
        <v>240</v>
      </c>
      <c r="D200" s="92">
        <v>800</v>
      </c>
      <c r="E200" s="60">
        <f>3581.3-1500+8269+5000</f>
        <v>15350.3</v>
      </c>
      <c r="F200" s="60">
        <v>0</v>
      </c>
      <c r="G200" s="20">
        <v>0</v>
      </c>
    </row>
    <row r="201" spans="1:7" ht="30" hidden="1" x14ac:dyDescent="0.25">
      <c r="A201" s="87" t="s">
        <v>568</v>
      </c>
      <c r="B201" s="91" t="s">
        <v>93</v>
      </c>
      <c r="C201" s="91" t="s">
        <v>569</v>
      </c>
      <c r="D201" s="92"/>
      <c r="E201" s="60">
        <f>E202</f>
        <v>0</v>
      </c>
      <c r="F201" s="60">
        <f t="shared" ref="F201:G201" si="41">F202</f>
        <v>0</v>
      </c>
      <c r="G201" s="60">
        <f t="shared" si="41"/>
        <v>0</v>
      </c>
    </row>
    <row r="202" spans="1:7" hidden="1" x14ac:dyDescent="0.25">
      <c r="A202" s="87" t="s">
        <v>22</v>
      </c>
      <c r="B202" s="91" t="s">
        <v>93</v>
      </c>
      <c r="C202" s="91" t="s">
        <v>569</v>
      </c>
      <c r="D202" s="92">
        <v>800</v>
      </c>
      <c r="E202" s="60">
        <f>613-613</f>
        <v>0</v>
      </c>
      <c r="F202" s="60">
        <v>0</v>
      </c>
      <c r="G202" s="20">
        <v>0</v>
      </c>
    </row>
    <row r="203" spans="1:7" ht="45" x14ac:dyDescent="0.25">
      <c r="A203" s="87" t="s">
        <v>531</v>
      </c>
      <c r="B203" s="81" t="s">
        <v>93</v>
      </c>
      <c r="C203" s="81" t="s">
        <v>436</v>
      </c>
      <c r="D203" s="22"/>
      <c r="E203" s="59">
        <f>E204+E205+E206</f>
        <v>130854.79999999997</v>
      </c>
      <c r="F203" s="59">
        <f>F204+F205</f>
        <v>25613</v>
      </c>
      <c r="G203" s="59">
        <f>G204+G205</f>
        <v>12055.3</v>
      </c>
    </row>
    <row r="204" spans="1:7" ht="30" x14ac:dyDescent="0.25">
      <c r="A204" s="1" t="s">
        <v>21</v>
      </c>
      <c r="B204" s="81" t="s">
        <v>93</v>
      </c>
      <c r="C204" s="81" t="s">
        <v>436</v>
      </c>
      <c r="D204" s="88">
        <v>200</v>
      </c>
      <c r="E204" s="60">
        <f>10172.2+86467.4+541.9-3682.7+480+5000</f>
        <v>98978.799999999988</v>
      </c>
      <c r="F204" s="60">
        <f>12055.3+13557.7</f>
        <v>25613</v>
      </c>
      <c r="G204" s="20">
        <v>12055.3</v>
      </c>
    </row>
    <row r="205" spans="1:7" ht="30" x14ac:dyDescent="0.25">
      <c r="A205" s="82" t="s">
        <v>78</v>
      </c>
      <c r="B205" s="81" t="s">
        <v>93</v>
      </c>
      <c r="C205" s="81" t="s">
        <v>436</v>
      </c>
      <c r="D205" s="88">
        <v>400</v>
      </c>
      <c r="E205" s="60">
        <f>1883.1+25483.1-541.9</f>
        <v>26824.299999999996</v>
      </c>
      <c r="F205" s="20">
        <v>0</v>
      </c>
      <c r="G205" s="20">
        <v>0</v>
      </c>
    </row>
    <row r="206" spans="1:7" x14ac:dyDescent="0.25">
      <c r="A206" s="87" t="s">
        <v>22</v>
      </c>
      <c r="B206" s="91" t="s">
        <v>93</v>
      </c>
      <c r="C206" s="91" t="s">
        <v>436</v>
      </c>
      <c r="D206" s="92">
        <v>800</v>
      </c>
      <c r="E206" s="60">
        <f>3682.7+1369</f>
        <v>5051.7</v>
      </c>
      <c r="F206" s="20">
        <v>0</v>
      </c>
      <c r="G206" s="20">
        <v>0</v>
      </c>
    </row>
    <row r="207" spans="1:7" ht="60" x14ac:dyDescent="0.25">
      <c r="A207" s="79" t="s">
        <v>552</v>
      </c>
      <c r="B207" s="91" t="s">
        <v>93</v>
      </c>
      <c r="C207" s="91" t="s">
        <v>515</v>
      </c>
      <c r="D207" s="92"/>
      <c r="E207" s="60">
        <f>E208</f>
        <v>150731.29999999999</v>
      </c>
      <c r="F207" s="60">
        <f>F208</f>
        <v>215463.19999999998</v>
      </c>
      <c r="G207" s="20">
        <f>G208</f>
        <v>148918.90000000002</v>
      </c>
    </row>
    <row r="208" spans="1:7" x14ac:dyDescent="0.25">
      <c r="A208" s="87" t="s">
        <v>22</v>
      </c>
      <c r="B208" s="91" t="s">
        <v>93</v>
      </c>
      <c r="C208" s="91" t="s">
        <v>515</v>
      </c>
      <c r="D208" s="92">
        <v>800</v>
      </c>
      <c r="E208" s="60">
        <v>150731.29999999999</v>
      </c>
      <c r="F208" s="60">
        <f>217751.3-2288.1</f>
        <v>215463.19999999998</v>
      </c>
      <c r="G208" s="20">
        <f>214222.1-65303.2</f>
        <v>148918.90000000002</v>
      </c>
    </row>
    <row r="209" spans="1:7" ht="90" x14ac:dyDescent="0.25">
      <c r="A209" s="79" t="s">
        <v>553</v>
      </c>
      <c r="B209" s="91" t="s">
        <v>93</v>
      </c>
      <c r="C209" s="91" t="s">
        <v>516</v>
      </c>
      <c r="D209" s="92"/>
      <c r="E209" s="60">
        <f>E210</f>
        <v>1708.8</v>
      </c>
      <c r="F209" s="60">
        <f t="shared" ref="F209:G209" si="42">F210</f>
        <v>2101.9</v>
      </c>
      <c r="G209" s="60">
        <f t="shared" si="42"/>
        <v>1285.4000000000001</v>
      </c>
    </row>
    <row r="210" spans="1:7" x14ac:dyDescent="0.25">
      <c r="A210" s="87" t="s">
        <v>22</v>
      </c>
      <c r="B210" s="91" t="s">
        <v>93</v>
      </c>
      <c r="C210" s="91" t="s">
        <v>516</v>
      </c>
      <c r="D210" s="92">
        <v>800</v>
      </c>
      <c r="E210" s="60">
        <v>1708.8</v>
      </c>
      <c r="F210" s="60">
        <v>2101.9</v>
      </c>
      <c r="G210" s="20">
        <v>1285.4000000000001</v>
      </c>
    </row>
    <row r="211" spans="1:7" ht="45" hidden="1" customHeight="1" x14ac:dyDescent="0.25">
      <c r="A211" s="79" t="s">
        <v>239</v>
      </c>
      <c r="B211" s="21" t="s">
        <v>93</v>
      </c>
      <c r="C211" s="21" t="s">
        <v>240</v>
      </c>
      <c r="D211" s="22"/>
      <c r="E211" s="59">
        <f>SUM(E212)</f>
        <v>0</v>
      </c>
      <c r="F211" s="59">
        <f>SUM(F212)</f>
        <v>0</v>
      </c>
      <c r="G211" s="59">
        <f>SUM(G212)</f>
        <v>0</v>
      </c>
    </row>
    <row r="212" spans="1:7" ht="15" hidden="1" customHeight="1" x14ac:dyDescent="0.25">
      <c r="A212" s="82" t="s">
        <v>22</v>
      </c>
      <c r="B212" s="21" t="s">
        <v>93</v>
      </c>
      <c r="C212" s="21" t="s">
        <v>240</v>
      </c>
      <c r="D212" s="22">
        <v>800</v>
      </c>
      <c r="E212" s="60">
        <f>25642.4-25642.4</f>
        <v>0</v>
      </c>
      <c r="F212" s="60">
        <f>32451.6-32451.6</f>
        <v>0</v>
      </c>
      <c r="G212" s="20">
        <f>19846.1-19846.1</f>
        <v>0</v>
      </c>
    </row>
    <row r="213" spans="1:7" ht="75" x14ac:dyDescent="0.25">
      <c r="A213" s="79" t="s">
        <v>554</v>
      </c>
      <c r="B213" s="91" t="s">
        <v>93</v>
      </c>
      <c r="C213" s="91" t="s">
        <v>517</v>
      </c>
      <c r="D213" s="22"/>
      <c r="E213" s="60">
        <f>E214</f>
        <v>25642.400000000001</v>
      </c>
      <c r="F213" s="60">
        <f t="shared" ref="F213:G213" si="43">F214</f>
        <v>32451.599999999999</v>
      </c>
      <c r="G213" s="60">
        <f t="shared" si="43"/>
        <v>19846.099999999999</v>
      </c>
    </row>
    <row r="214" spans="1:7" x14ac:dyDescent="0.25">
      <c r="A214" s="87" t="s">
        <v>22</v>
      </c>
      <c r="B214" s="91" t="s">
        <v>93</v>
      </c>
      <c r="C214" s="91" t="s">
        <v>517</v>
      </c>
      <c r="D214" s="22">
        <v>800</v>
      </c>
      <c r="E214" s="60">
        <v>25642.400000000001</v>
      </c>
      <c r="F214" s="60">
        <v>32451.599999999999</v>
      </c>
      <c r="G214" s="20">
        <v>19846.099999999999</v>
      </c>
    </row>
    <row r="215" spans="1:7" ht="45" x14ac:dyDescent="0.25">
      <c r="A215" s="128" t="s">
        <v>528</v>
      </c>
      <c r="B215" s="15" t="s">
        <v>93</v>
      </c>
      <c r="C215" s="16" t="s">
        <v>71</v>
      </c>
      <c r="D215" s="92"/>
      <c r="E215" s="60">
        <f>E216</f>
        <v>59</v>
      </c>
      <c r="F215" s="60">
        <f t="shared" ref="F215:G218" si="44">F216</f>
        <v>0</v>
      </c>
      <c r="G215" s="60">
        <f t="shared" si="44"/>
        <v>0</v>
      </c>
    </row>
    <row r="216" spans="1:7" ht="30" x14ac:dyDescent="0.25">
      <c r="A216" s="128" t="s">
        <v>276</v>
      </c>
      <c r="B216" s="15" t="s">
        <v>93</v>
      </c>
      <c r="C216" s="16" t="s">
        <v>277</v>
      </c>
      <c r="D216" s="92"/>
      <c r="E216" s="60">
        <f>E217</f>
        <v>59</v>
      </c>
      <c r="F216" s="60">
        <f t="shared" si="44"/>
        <v>0</v>
      </c>
      <c r="G216" s="60">
        <f t="shared" si="44"/>
        <v>0</v>
      </c>
    </row>
    <row r="217" spans="1:7" ht="30" x14ac:dyDescent="0.25">
      <c r="A217" s="128" t="s">
        <v>278</v>
      </c>
      <c r="B217" s="15" t="s">
        <v>93</v>
      </c>
      <c r="C217" s="16" t="s">
        <v>279</v>
      </c>
      <c r="D217" s="92"/>
      <c r="E217" s="60">
        <f>E218</f>
        <v>59</v>
      </c>
      <c r="F217" s="60">
        <f t="shared" si="44"/>
        <v>0</v>
      </c>
      <c r="G217" s="60">
        <f t="shared" si="44"/>
        <v>0</v>
      </c>
    </row>
    <row r="218" spans="1:7" ht="30" x14ac:dyDescent="0.25">
      <c r="A218" s="128" t="s">
        <v>574</v>
      </c>
      <c r="B218" s="15" t="s">
        <v>93</v>
      </c>
      <c r="C218" s="16" t="s">
        <v>575</v>
      </c>
      <c r="D218" s="92"/>
      <c r="E218" s="60">
        <f>E219</f>
        <v>59</v>
      </c>
      <c r="F218" s="60">
        <f t="shared" si="44"/>
        <v>0</v>
      </c>
      <c r="G218" s="60">
        <f t="shared" si="44"/>
        <v>0</v>
      </c>
    </row>
    <row r="219" spans="1:7" ht="30" x14ac:dyDescent="0.25">
      <c r="A219" s="129" t="s">
        <v>21</v>
      </c>
      <c r="B219" s="15" t="s">
        <v>93</v>
      </c>
      <c r="C219" s="16" t="s">
        <v>575</v>
      </c>
      <c r="D219" s="92">
        <v>200</v>
      </c>
      <c r="E219" s="60">
        <v>59</v>
      </c>
      <c r="F219" s="60">
        <v>0</v>
      </c>
      <c r="G219" s="20">
        <v>0</v>
      </c>
    </row>
    <row r="220" spans="1:7" x14ac:dyDescent="0.25">
      <c r="A220" s="85" t="s">
        <v>103</v>
      </c>
      <c r="B220" s="24" t="s">
        <v>104</v>
      </c>
      <c r="C220" s="24"/>
      <c r="D220" s="25"/>
      <c r="E220" s="12">
        <f>SUM(E221+E241)</f>
        <v>27335.100000000002</v>
      </c>
      <c r="F220" s="12">
        <f>SUM(F221+F241)</f>
        <v>21381.500000000004</v>
      </c>
      <c r="G220" s="12">
        <f>SUM(G221+G241)</f>
        <v>10545.2</v>
      </c>
    </row>
    <row r="221" spans="1:7" ht="30" x14ac:dyDescent="0.25">
      <c r="A221" s="79" t="s">
        <v>532</v>
      </c>
      <c r="B221" s="21" t="s">
        <v>104</v>
      </c>
      <c r="C221" s="81" t="s">
        <v>116</v>
      </c>
      <c r="D221" s="22"/>
      <c r="E221" s="59">
        <f>SUM(E222+E226)</f>
        <v>1922.9</v>
      </c>
      <c r="F221" s="59">
        <f>SUM(F222+F226)</f>
        <v>2167.8000000000002</v>
      </c>
      <c r="G221" s="59">
        <f>SUM(G222+G226)</f>
        <v>1714.1999999999998</v>
      </c>
    </row>
    <row r="222" spans="1:7" x14ac:dyDescent="0.25">
      <c r="A222" s="80" t="s">
        <v>117</v>
      </c>
      <c r="B222" s="21" t="s">
        <v>104</v>
      </c>
      <c r="C222" s="81" t="s">
        <v>118</v>
      </c>
      <c r="D222" s="22"/>
      <c r="E222" s="59">
        <f>SUM(E223)</f>
        <v>626.29999999999995</v>
      </c>
      <c r="F222" s="59">
        <f t="shared" ref="F222:G224" si="45">SUM(F223)</f>
        <v>1000</v>
      </c>
      <c r="G222" s="59">
        <f t="shared" si="45"/>
        <v>1000</v>
      </c>
    </row>
    <row r="223" spans="1:7" ht="30" x14ac:dyDescent="0.25">
      <c r="A223" s="80" t="s">
        <v>119</v>
      </c>
      <c r="B223" s="21" t="s">
        <v>104</v>
      </c>
      <c r="C223" s="81" t="s">
        <v>120</v>
      </c>
      <c r="D223" s="22"/>
      <c r="E223" s="59">
        <f>SUM(E224)</f>
        <v>626.29999999999995</v>
      </c>
      <c r="F223" s="59">
        <f>SUM(F224)</f>
        <v>1000</v>
      </c>
      <c r="G223" s="59">
        <f>SUM(G224)</f>
        <v>1000</v>
      </c>
    </row>
    <row r="224" spans="1:7" ht="30" x14ac:dyDescent="0.25">
      <c r="A224" s="94" t="s">
        <v>576</v>
      </c>
      <c r="B224" s="91" t="s">
        <v>104</v>
      </c>
      <c r="C224" s="91" t="s">
        <v>450</v>
      </c>
      <c r="D224" s="92"/>
      <c r="E224" s="20">
        <f>SUM(E225)</f>
        <v>626.29999999999995</v>
      </c>
      <c r="F224" s="20">
        <f t="shared" si="45"/>
        <v>1000</v>
      </c>
      <c r="G224" s="20">
        <f t="shared" si="45"/>
        <v>1000</v>
      </c>
    </row>
    <row r="225" spans="1:7" ht="30" x14ac:dyDescent="0.25">
      <c r="A225" s="87" t="s">
        <v>78</v>
      </c>
      <c r="B225" s="91" t="s">
        <v>104</v>
      </c>
      <c r="C225" s="91" t="s">
        <v>450</v>
      </c>
      <c r="D225" s="92">
        <v>400</v>
      </c>
      <c r="E225" s="60">
        <f>1000-373.7</f>
        <v>626.29999999999995</v>
      </c>
      <c r="F225" s="60">
        <v>1000</v>
      </c>
      <c r="G225" s="20">
        <v>1000</v>
      </c>
    </row>
    <row r="226" spans="1:7" ht="30" x14ac:dyDescent="0.25">
      <c r="A226" s="82" t="s">
        <v>121</v>
      </c>
      <c r="B226" s="21" t="s">
        <v>104</v>
      </c>
      <c r="C226" s="81" t="s">
        <v>122</v>
      </c>
      <c r="D226" s="22"/>
      <c r="E226" s="59">
        <f>SUM(E227+E238)</f>
        <v>1296.6000000000001</v>
      </c>
      <c r="F226" s="59">
        <f>SUM(F227+F238)</f>
        <v>1167.8</v>
      </c>
      <c r="G226" s="59">
        <f>SUM(G227+G238)</f>
        <v>714.19999999999993</v>
      </c>
    </row>
    <row r="227" spans="1:7" ht="30" x14ac:dyDescent="0.25">
      <c r="A227" s="82" t="s">
        <v>123</v>
      </c>
      <c r="B227" s="21" t="s">
        <v>104</v>
      </c>
      <c r="C227" s="81" t="s">
        <v>124</v>
      </c>
      <c r="D227" s="22"/>
      <c r="E227" s="59">
        <f>SUM(E228+E230+E232+E234+E236)</f>
        <v>1296.6000000000001</v>
      </c>
      <c r="F227" s="59">
        <f>SUM(F228+F230+F232+F234+F236)</f>
        <v>994.8</v>
      </c>
      <c r="G227" s="59">
        <f>SUM(G228+G230+G232+G234+G236)</f>
        <v>608.4</v>
      </c>
    </row>
    <row r="228" spans="1:7" ht="45" x14ac:dyDescent="0.25">
      <c r="A228" s="82" t="s">
        <v>125</v>
      </c>
      <c r="B228" s="21" t="s">
        <v>104</v>
      </c>
      <c r="C228" s="81" t="s">
        <v>126</v>
      </c>
      <c r="D228" s="22"/>
      <c r="E228" s="59">
        <f>SUM(E229)</f>
        <v>822.90000000000009</v>
      </c>
      <c r="F228" s="59">
        <f>SUM(F229)</f>
        <v>389.3</v>
      </c>
      <c r="G228" s="59">
        <f>SUM(G229)</f>
        <v>238.1</v>
      </c>
    </row>
    <row r="229" spans="1:7" ht="30" x14ac:dyDescent="0.25">
      <c r="A229" s="1" t="s">
        <v>21</v>
      </c>
      <c r="B229" s="21" t="s">
        <v>104</v>
      </c>
      <c r="C229" s="81" t="s">
        <v>126</v>
      </c>
      <c r="D229" s="22">
        <v>200</v>
      </c>
      <c r="E229" s="60">
        <f>307.6+136.7+378.6</f>
        <v>822.90000000000009</v>
      </c>
      <c r="F229" s="60">
        <v>389.3</v>
      </c>
      <c r="G229" s="20">
        <v>238.1</v>
      </c>
    </row>
    <row r="230" spans="1:7" ht="30" x14ac:dyDescent="0.25">
      <c r="A230" s="82" t="s">
        <v>127</v>
      </c>
      <c r="B230" s="21" t="s">
        <v>104</v>
      </c>
      <c r="C230" s="21" t="s">
        <v>128</v>
      </c>
      <c r="D230" s="22"/>
      <c r="E230" s="59">
        <f>SUM(E231)</f>
        <v>100</v>
      </c>
      <c r="F230" s="59">
        <f>SUM(F231)</f>
        <v>259.5</v>
      </c>
      <c r="G230" s="59">
        <f>SUM(G231)</f>
        <v>158.69999999999999</v>
      </c>
    </row>
    <row r="231" spans="1:7" x14ac:dyDescent="0.25">
      <c r="A231" s="82" t="s">
        <v>22</v>
      </c>
      <c r="B231" s="21" t="s">
        <v>104</v>
      </c>
      <c r="C231" s="21" t="s">
        <v>128</v>
      </c>
      <c r="D231" s="22">
        <v>800</v>
      </c>
      <c r="E231" s="60">
        <f>205.1-105.1</f>
        <v>100</v>
      </c>
      <c r="F231" s="60">
        <v>259.5</v>
      </c>
      <c r="G231" s="20">
        <v>158.69999999999999</v>
      </c>
    </row>
    <row r="232" spans="1:7" ht="60" x14ac:dyDescent="0.25">
      <c r="A232" s="23" t="s">
        <v>129</v>
      </c>
      <c r="B232" s="21" t="s">
        <v>104</v>
      </c>
      <c r="C232" s="21" t="s">
        <v>130</v>
      </c>
      <c r="D232" s="22"/>
      <c r="E232" s="59">
        <f>SUM(E233)</f>
        <v>300</v>
      </c>
      <c r="F232" s="59">
        <f>SUM(F233)</f>
        <v>173</v>
      </c>
      <c r="G232" s="59">
        <f>SUM(G233)</f>
        <v>105.8</v>
      </c>
    </row>
    <row r="233" spans="1:7" x14ac:dyDescent="0.25">
      <c r="A233" s="82" t="s">
        <v>22</v>
      </c>
      <c r="B233" s="21" t="s">
        <v>104</v>
      </c>
      <c r="C233" s="21" t="s">
        <v>130</v>
      </c>
      <c r="D233" s="22">
        <v>800</v>
      </c>
      <c r="E233" s="60">
        <f>136.7+163.3</f>
        <v>300</v>
      </c>
      <c r="F233" s="60">
        <v>173</v>
      </c>
      <c r="G233" s="20">
        <v>105.8</v>
      </c>
    </row>
    <row r="234" spans="1:7" ht="105" x14ac:dyDescent="0.25">
      <c r="A234" s="23" t="s">
        <v>131</v>
      </c>
      <c r="B234" s="21" t="s">
        <v>104</v>
      </c>
      <c r="C234" s="21" t="s">
        <v>132</v>
      </c>
      <c r="D234" s="22"/>
      <c r="E234" s="59">
        <f>SUM(E235)</f>
        <v>0</v>
      </c>
      <c r="F234" s="59">
        <f>SUM(F235)</f>
        <v>86.5</v>
      </c>
      <c r="G234" s="59">
        <f>SUM(G235)</f>
        <v>52.9</v>
      </c>
    </row>
    <row r="235" spans="1:7" x14ac:dyDescent="0.25">
      <c r="A235" s="23" t="s">
        <v>22</v>
      </c>
      <c r="B235" s="21" t="s">
        <v>104</v>
      </c>
      <c r="C235" s="21" t="s">
        <v>132</v>
      </c>
      <c r="D235" s="22">
        <v>800</v>
      </c>
      <c r="E235" s="60">
        <f>68.4-68.4</f>
        <v>0</v>
      </c>
      <c r="F235" s="60">
        <v>86.5</v>
      </c>
      <c r="G235" s="20">
        <v>52.9</v>
      </c>
    </row>
    <row r="236" spans="1:7" ht="90" x14ac:dyDescent="0.25">
      <c r="A236" s="23" t="s">
        <v>133</v>
      </c>
      <c r="B236" s="21" t="s">
        <v>104</v>
      </c>
      <c r="C236" s="21" t="s">
        <v>134</v>
      </c>
      <c r="D236" s="22"/>
      <c r="E236" s="59">
        <f>SUM(E237)</f>
        <v>73.7</v>
      </c>
      <c r="F236" s="59">
        <f>SUM(F237)</f>
        <v>86.5</v>
      </c>
      <c r="G236" s="59">
        <f>SUM(G237)</f>
        <v>52.9</v>
      </c>
    </row>
    <row r="237" spans="1:7" x14ac:dyDescent="0.25">
      <c r="A237" s="23" t="s">
        <v>22</v>
      </c>
      <c r="B237" s="21" t="s">
        <v>104</v>
      </c>
      <c r="C237" s="21" t="s">
        <v>134</v>
      </c>
      <c r="D237" s="22">
        <v>800</v>
      </c>
      <c r="E237" s="60">
        <f>68.4+5.3</f>
        <v>73.7</v>
      </c>
      <c r="F237" s="60">
        <v>86.5</v>
      </c>
      <c r="G237" s="20">
        <v>52.9</v>
      </c>
    </row>
    <row r="238" spans="1:7" ht="30" x14ac:dyDescent="0.25">
      <c r="A238" s="23" t="s">
        <v>135</v>
      </c>
      <c r="B238" s="21" t="s">
        <v>104</v>
      </c>
      <c r="C238" s="21" t="s">
        <v>136</v>
      </c>
      <c r="D238" s="22"/>
      <c r="E238" s="59">
        <f>E239</f>
        <v>0</v>
      </c>
      <c r="F238" s="59">
        <f>F239</f>
        <v>173</v>
      </c>
      <c r="G238" s="59">
        <f>G239</f>
        <v>105.8</v>
      </c>
    </row>
    <row r="239" spans="1:7" ht="30" x14ac:dyDescent="0.25">
      <c r="A239" s="26" t="s">
        <v>137</v>
      </c>
      <c r="B239" s="21" t="s">
        <v>104</v>
      </c>
      <c r="C239" s="21" t="s">
        <v>138</v>
      </c>
      <c r="D239" s="22"/>
      <c r="E239" s="59">
        <f>SUM(E240)</f>
        <v>0</v>
      </c>
      <c r="F239" s="59">
        <f>SUM(F240)</f>
        <v>173</v>
      </c>
      <c r="G239" s="59">
        <f>SUM(G240)</f>
        <v>105.8</v>
      </c>
    </row>
    <row r="240" spans="1:7" ht="30" x14ac:dyDescent="0.25">
      <c r="A240" s="23" t="s">
        <v>58</v>
      </c>
      <c r="B240" s="21" t="s">
        <v>104</v>
      </c>
      <c r="C240" s="21" t="s">
        <v>138</v>
      </c>
      <c r="D240" s="22">
        <v>600</v>
      </c>
      <c r="E240" s="60">
        <f>136.7-136.7</f>
        <v>0</v>
      </c>
      <c r="F240" s="60">
        <v>173</v>
      </c>
      <c r="G240" s="20">
        <v>105.8</v>
      </c>
    </row>
    <row r="241" spans="1:7" ht="50.25" customHeight="1" x14ac:dyDescent="0.25">
      <c r="A241" s="79" t="s">
        <v>533</v>
      </c>
      <c r="B241" s="21" t="s">
        <v>104</v>
      </c>
      <c r="C241" s="81" t="s">
        <v>105</v>
      </c>
      <c r="D241" s="88"/>
      <c r="E241" s="59">
        <f>SUM(E242+E245)</f>
        <v>25412.2</v>
      </c>
      <c r="F241" s="59">
        <f>SUM(F242+F245)</f>
        <v>19213.700000000004</v>
      </c>
      <c r="G241" s="59">
        <f>SUM(G242+G245)</f>
        <v>8831</v>
      </c>
    </row>
    <row r="242" spans="1:7" ht="30" x14ac:dyDescent="0.25">
      <c r="A242" s="80" t="s">
        <v>106</v>
      </c>
      <c r="B242" s="21" t="s">
        <v>104</v>
      </c>
      <c r="C242" s="81" t="s">
        <v>107</v>
      </c>
      <c r="D242" s="88"/>
      <c r="E242" s="59">
        <f>SUM(E243)</f>
        <v>382.8</v>
      </c>
      <c r="F242" s="59">
        <f>SUM(F243)</f>
        <v>484.4</v>
      </c>
      <c r="G242" s="59">
        <f>SUM(G243)</f>
        <v>296.2</v>
      </c>
    </row>
    <row r="243" spans="1:7" ht="45" x14ac:dyDescent="0.25">
      <c r="A243" s="80" t="s">
        <v>108</v>
      </c>
      <c r="B243" s="21" t="s">
        <v>104</v>
      </c>
      <c r="C243" s="81" t="s">
        <v>109</v>
      </c>
      <c r="D243" s="88"/>
      <c r="E243" s="59">
        <f t="shared" ref="E243:G243" si="46">SUM(E244)</f>
        <v>382.8</v>
      </c>
      <c r="F243" s="59">
        <f t="shared" si="46"/>
        <v>484.4</v>
      </c>
      <c r="G243" s="59">
        <f t="shared" si="46"/>
        <v>296.2</v>
      </c>
    </row>
    <row r="244" spans="1:7" ht="30" x14ac:dyDescent="0.25">
      <c r="A244" s="1" t="s">
        <v>21</v>
      </c>
      <c r="B244" s="21" t="s">
        <v>104</v>
      </c>
      <c r="C244" s="81" t="s">
        <v>109</v>
      </c>
      <c r="D244" s="88">
        <v>200</v>
      </c>
      <c r="E244" s="60">
        <v>382.8</v>
      </c>
      <c r="F244" s="60">
        <v>484.4</v>
      </c>
      <c r="G244" s="20">
        <v>296.2</v>
      </c>
    </row>
    <row r="245" spans="1:7" ht="30" x14ac:dyDescent="0.25">
      <c r="A245" s="82" t="s">
        <v>110</v>
      </c>
      <c r="B245" s="21" t="s">
        <v>104</v>
      </c>
      <c r="C245" s="81" t="s">
        <v>111</v>
      </c>
      <c r="D245" s="88"/>
      <c r="E245" s="59">
        <f>SUM(E248)+E246+E250</f>
        <v>25029.4</v>
      </c>
      <c r="F245" s="59">
        <f>SUM(F248)+F246+F250</f>
        <v>18729.300000000003</v>
      </c>
      <c r="G245" s="59">
        <f>SUM(G248)+G246+G250</f>
        <v>8534.7999999999993</v>
      </c>
    </row>
    <row r="246" spans="1:7" ht="45" x14ac:dyDescent="0.25">
      <c r="A246" s="82" t="s">
        <v>112</v>
      </c>
      <c r="B246" s="21" t="s">
        <v>104</v>
      </c>
      <c r="C246" s="81" t="s">
        <v>113</v>
      </c>
      <c r="D246" s="88"/>
      <c r="E246" s="59">
        <f>E247</f>
        <v>91.5</v>
      </c>
      <c r="F246" s="59">
        <f>F247</f>
        <v>115.7</v>
      </c>
      <c r="G246" s="59">
        <f>G247</f>
        <v>70.8</v>
      </c>
    </row>
    <row r="247" spans="1:7" ht="30" x14ac:dyDescent="0.25">
      <c r="A247" s="1" t="s">
        <v>21</v>
      </c>
      <c r="B247" s="21" t="s">
        <v>104</v>
      </c>
      <c r="C247" s="81" t="s">
        <v>113</v>
      </c>
      <c r="D247" s="88">
        <v>200</v>
      </c>
      <c r="E247" s="60">
        <v>91.5</v>
      </c>
      <c r="F247" s="60">
        <v>115.7</v>
      </c>
      <c r="G247" s="20">
        <v>70.8</v>
      </c>
    </row>
    <row r="248" spans="1:7" ht="60" x14ac:dyDescent="0.25">
      <c r="A248" s="82" t="s">
        <v>114</v>
      </c>
      <c r="B248" s="21" t="s">
        <v>104</v>
      </c>
      <c r="C248" s="21" t="s">
        <v>115</v>
      </c>
      <c r="D248" s="22"/>
      <c r="E248" s="59">
        <f>SUM(E249)</f>
        <v>15437.9</v>
      </c>
      <c r="F248" s="59">
        <f>SUM(F249)</f>
        <v>13671.2</v>
      </c>
      <c r="G248" s="59">
        <f>SUM(G249)</f>
        <v>8464</v>
      </c>
    </row>
    <row r="249" spans="1:7" ht="30" x14ac:dyDescent="0.25">
      <c r="A249" s="1" t="s">
        <v>21</v>
      </c>
      <c r="B249" s="21" t="s">
        <v>104</v>
      </c>
      <c r="C249" s="21" t="s">
        <v>115</v>
      </c>
      <c r="D249" s="22">
        <v>200</v>
      </c>
      <c r="E249" s="60">
        <f>8183.3-59+10560-9500+6253.6</f>
        <v>15437.9</v>
      </c>
      <c r="F249" s="60">
        <f>9288.1-4942.4+9325.5</f>
        <v>13671.2</v>
      </c>
      <c r="G249" s="20">
        <v>8464</v>
      </c>
    </row>
    <row r="250" spans="1:7" x14ac:dyDescent="0.25">
      <c r="A250" s="66" t="s">
        <v>580</v>
      </c>
      <c r="B250" s="91" t="s">
        <v>104</v>
      </c>
      <c r="C250" s="91" t="s">
        <v>581</v>
      </c>
      <c r="D250" s="92"/>
      <c r="E250" s="60">
        <f>E251</f>
        <v>9500</v>
      </c>
      <c r="F250" s="60">
        <f t="shared" ref="F250:G250" si="47">F251</f>
        <v>4942.3999999999996</v>
      </c>
      <c r="G250" s="60">
        <f t="shared" si="47"/>
        <v>0</v>
      </c>
    </row>
    <row r="251" spans="1:7" ht="30" x14ac:dyDescent="0.25">
      <c r="A251" s="66" t="s">
        <v>21</v>
      </c>
      <c r="B251" s="91" t="s">
        <v>104</v>
      </c>
      <c r="C251" s="91" t="s">
        <v>581</v>
      </c>
      <c r="D251" s="92">
        <v>200</v>
      </c>
      <c r="E251" s="60">
        <v>9500</v>
      </c>
      <c r="F251" s="60">
        <v>4942.3999999999996</v>
      </c>
      <c r="G251" s="20">
        <v>0</v>
      </c>
    </row>
    <row r="252" spans="1:7" x14ac:dyDescent="0.25">
      <c r="A252" s="85" t="s">
        <v>139</v>
      </c>
      <c r="B252" s="24" t="s">
        <v>140</v>
      </c>
      <c r="C252" s="24"/>
      <c r="D252" s="25"/>
      <c r="E252" s="12">
        <f>E253+E288+E332+E381</f>
        <v>842674.4</v>
      </c>
      <c r="F252" s="12">
        <f>F253+F288+F332+F381</f>
        <v>676982</v>
      </c>
      <c r="G252" s="12">
        <f>G253+G288+G332+G381</f>
        <v>376055</v>
      </c>
    </row>
    <row r="253" spans="1:7" x14ac:dyDescent="0.25">
      <c r="A253" s="85" t="s">
        <v>141</v>
      </c>
      <c r="B253" s="24" t="s">
        <v>142</v>
      </c>
      <c r="C253" s="24"/>
      <c r="D253" s="25"/>
      <c r="E253" s="12">
        <f>SUM(E270)+E254+E257</f>
        <v>75181</v>
      </c>
      <c r="F253" s="12">
        <f>SUM(F270)+F254+F257</f>
        <v>264587.60000000003</v>
      </c>
      <c r="G253" s="12">
        <f>SUM(G270)+G254+G257</f>
        <v>25427.399999999998</v>
      </c>
    </row>
    <row r="254" spans="1:7" x14ac:dyDescent="0.25">
      <c r="A254" s="97" t="s">
        <v>10</v>
      </c>
      <c r="B254" s="21" t="s">
        <v>142</v>
      </c>
      <c r="C254" s="21" t="s">
        <v>11</v>
      </c>
      <c r="D254" s="22"/>
      <c r="E254" s="59">
        <f>SUM(E255)</f>
        <v>1800</v>
      </c>
      <c r="F254" s="59">
        <f t="shared" ref="F254:G254" si="48">SUM(F255)</f>
        <v>1800</v>
      </c>
      <c r="G254" s="59">
        <f t="shared" si="48"/>
        <v>1800</v>
      </c>
    </row>
    <row r="255" spans="1:7" ht="30" x14ac:dyDescent="0.25">
      <c r="A255" s="97" t="s">
        <v>399</v>
      </c>
      <c r="B255" s="21" t="s">
        <v>142</v>
      </c>
      <c r="C255" s="21" t="s">
        <v>400</v>
      </c>
      <c r="D255" s="22"/>
      <c r="E255" s="59">
        <f t="shared" ref="E255:G255" si="49">SUM(E256)</f>
        <v>1800</v>
      </c>
      <c r="F255" s="59">
        <f t="shared" si="49"/>
        <v>1800</v>
      </c>
      <c r="G255" s="59">
        <f t="shared" si="49"/>
        <v>1800</v>
      </c>
    </row>
    <row r="256" spans="1:7" ht="30" x14ac:dyDescent="0.25">
      <c r="A256" s="23" t="s">
        <v>78</v>
      </c>
      <c r="B256" s="21" t="s">
        <v>142</v>
      </c>
      <c r="C256" s="21" t="s">
        <v>400</v>
      </c>
      <c r="D256" s="22">
        <v>400</v>
      </c>
      <c r="E256" s="20">
        <v>1800</v>
      </c>
      <c r="F256" s="20">
        <v>1800</v>
      </c>
      <c r="G256" s="20">
        <v>1800</v>
      </c>
    </row>
    <row r="257" spans="1:7" ht="30" x14ac:dyDescent="0.25">
      <c r="A257" s="79" t="s">
        <v>525</v>
      </c>
      <c r="B257" s="21" t="s">
        <v>142</v>
      </c>
      <c r="C257" s="81" t="s">
        <v>241</v>
      </c>
      <c r="D257" s="88"/>
      <c r="E257" s="59">
        <f>SUM(E266)+E259</f>
        <v>38818.9</v>
      </c>
      <c r="F257" s="59">
        <f>SUM(F266)+F259</f>
        <v>233357.30000000002</v>
      </c>
      <c r="G257" s="59">
        <f>SUM(G266)+G259</f>
        <v>789.3</v>
      </c>
    </row>
    <row r="258" spans="1:7" ht="30" x14ac:dyDescent="0.25">
      <c r="A258" s="80" t="s">
        <v>242</v>
      </c>
      <c r="B258" s="21" t="s">
        <v>142</v>
      </c>
      <c r="C258" s="81" t="s">
        <v>421</v>
      </c>
      <c r="D258" s="88"/>
      <c r="E258" s="59">
        <f>E259</f>
        <v>37214.1</v>
      </c>
      <c r="F258" s="59">
        <f>F259</f>
        <v>232499.20000000001</v>
      </c>
      <c r="G258" s="59">
        <f>G259</f>
        <v>264.5</v>
      </c>
    </row>
    <row r="259" spans="1:7" ht="30" x14ac:dyDescent="0.25">
      <c r="A259" s="80" t="s">
        <v>422</v>
      </c>
      <c r="B259" s="21" t="s">
        <v>142</v>
      </c>
      <c r="C259" s="81" t="s">
        <v>243</v>
      </c>
      <c r="D259" s="88"/>
      <c r="E259" s="59">
        <f>E260+E262+E264</f>
        <v>37214.1</v>
      </c>
      <c r="F259" s="59">
        <f t="shared" ref="F259:G259" si="50">F260+F262+F264</f>
        <v>232499.20000000001</v>
      </c>
      <c r="G259" s="59">
        <f t="shared" si="50"/>
        <v>264.5</v>
      </c>
    </row>
    <row r="260" spans="1:7" x14ac:dyDescent="0.25">
      <c r="A260" s="80" t="s">
        <v>244</v>
      </c>
      <c r="B260" s="81" t="s">
        <v>142</v>
      </c>
      <c r="C260" s="81" t="s">
        <v>245</v>
      </c>
      <c r="D260" s="88"/>
      <c r="E260" s="20">
        <f>E261</f>
        <v>683.5</v>
      </c>
      <c r="F260" s="20">
        <f t="shared" ref="F260:G260" si="51">F261</f>
        <v>432.5</v>
      </c>
      <c r="G260" s="20">
        <f t="shared" si="51"/>
        <v>264.5</v>
      </c>
    </row>
    <row r="261" spans="1:7" ht="30" x14ac:dyDescent="0.25">
      <c r="A261" s="1" t="s">
        <v>21</v>
      </c>
      <c r="B261" s="81" t="s">
        <v>142</v>
      </c>
      <c r="C261" s="81" t="s">
        <v>245</v>
      </c>
      <c r="D261" s="88">
        <v>200</v>
      </c>
      <c r="E261" s="60">
        <v>683.5</v>
      </c>
      <c r="F261" s="60">
        <v>432.5</v>
      </c>
      <c r="G261" s="20">
        <v>264.5</v>
      </c>
    </row>
    <row r="262" spans="1:7" ht="45" x14ac:dyDescent="0.25">
      <c r="A262" s="133" t="s">
        <v>594</v>
      </c>
      <c r="B262" s="91" t="s">
        <v>142</v>
      </c>
      <c r="C262" s="91" t="s">
        <v>595</v>
      </c>
      <c r="D262" s="92"/>
      <c r="E262" s="60">
        <f>E263</f>
        <v>36530.6</v>
      </c>
      <c r="F262" s="60">
        <f t="shared" ref="F262:G262" si="52">F263</f>
        <v>227466.7</v>
      </c>
      <c r="G262" s="60">
        <f t="shared" si="52"/>
        <v>0</v>
      </c>
    </row>
    <row r="263" spans="1:7" ht="30" x14ac:dyDescent="0.25">
      <c r="A263" s="133" t="s">
        <v>78</v>
      </c>
      <c r="B263" s="91" t="s">
        <v>142</v>
      </c>
      <c r="C263" s="91" t="s">
        <v>595</v>
      </c>
      <c r="D263" s="92">
        <v>400</v>
      </c>
      <c r="E263" s="60">
        <v>36530.6</v>
      </c>
      <c r="F263" s="60">
        <v>227466.7</v>
      </c>
      <c r="G263" s="20">
        <v>0</v>
      </c>
    </row>
    <row r="264" spans="1:7" ht="60" x14ac:dyDescent="0.25">
      <c r="A264" s="133" t="s">
        <v>597</v>
      </c>
      <c r="B264" s="91" t="s">
        <v>142</v>
      </c>
      <c r="C264" s="91" t="s">
        <v>598</v>
      </c>
      <c r="D264" s="92"/>
      <c r="E264" s="60">
        <f>E265</f>
        <v>0</v>
      </c>
      <c r="F264" s="60">
        <f t="shared" ref="F264:G264" si="53">F265</f>
        <v>4600</v>
      </c>
      <c r="G264" s="60">
        <f t="shared" si="53"/>
        <v>0</v>
      </c>
    </row>
    <row r="265" spans="1:7" ht="30" x14ac:dyDescent="0.25">
      <c r="A265" s="133" t="s">
        <v>78</v>
      </c>
      <c r="B265" s="91" t="s">
        <v>142</v>
      </c>
      <c r="C265" s="91" t="s">
        <v>598</v>
      </c>
      <c r="D265" s="92">
        <v>400</v>
      </c>
      <c r="E265" s="60">
        <v>0</v>
      </c>
      <c r="F265" s="60">
        <v>4600</v>
      </c>
      <c r="G265" s="20">
        <v>0</v>
      </c>
    </row>
    <row r="266" spans="1:7" ht="45" x14ac:dyDescent="0.25">
      <c r="A266" s="79" t="s">
        <v>526</v>
      </c>
      <c r="B266" s="21" t="s">
        <v>142</v>
      </c>
      <c r="C266" s="21" t="s">
        <v>401</v>
      </c>
      <c r="D266" s="22"/>
      <c r="E266" s="59">
        <f>SUM(E267)</f>
        <v>1604.8</v>
      </c>
      <c r="F266" s="59">
        <f t="shared" ref="F266:G268" si="54">SUM(F267)</f>
        <v>858.1</v>
      </c>
      <c r="G266" s="59">
        <f t="shared" si="54"/>
        <v>524.79999999999995</v>
      </c>
    </row>
    <row r="267" spans="1:7" ht="45" x14ac:dyDescent="0.25">
      <c r="A267" s="80" t="s">
        <v>402</v>
      </c>
      <c r="B267" s="21" t="s">
        <v>142</v>
      </c>
      <c r="C267" s="21" t="s">
        <v>403</v>
      </c>
      <c r="D267" s="22"/>
      <c r="E267" s="59">
        <f>SUM(E268)</f>
        <v>1604.8</v>
      </c>
      <c r="F267" s="59">
        <f t="shared" si="54"/>
        <v>858.1</v>
      </c>
      <c r="G267" s="59">
        <f t="shared" si="54"/>
        <v>524.79999999999995</v>
      </c>
    </row>
    <row r="268" spans="1:7" x14ac:dyDescent="0.25">
      <c r="A268" s="80" t="s">
        <v>404</v>
      </c>
      <c r="B268" s="21" t="s">
        <v>142</v>
      </c>
      <c r="C268" s="21" t="s">
        <v>405</v>
      </c>
      <c r="D268" s="22"/>
      <c r="E268" s="59">
        <f>SUM(E269)</f>
        <v>1604.8</v>
      </c>
      <c r="F268" s="59">
        <f t="shared" si="54"/>
        <v>858.1</v>
      </c>
      <c r="G268" s="59">
        <f t="shared" si="54"/>
        <v>524.79999999999995</v>
      </c>
    </row>
    <row r="269" spans="1:7" ht="30" x14ac:dyDescent="0.25">
      <c r="A269" s="82" t="s">
        <v>21</v>
      </c>
      <c r="B269" s="21" t="s">
        <v>142</v>
      </c>
      <c r="C269" s="21" t="s">
        <v>405</v>
      </c>
      <c r="D269" s="22">
        <v>200</v>
      </c>
      <c r="E269" s="20">
        <f>336.3+341.8-341.8+341.8+771+155.7</f>
        <v>1604.8</v>
      </c>
      <c r="F269" s="20">
        <f>425.6+432.5-432.5+432.5</f>
        <v>858.1</v>
      </c>
      <c r="G269" s="20">
        <f>260.3+264.5-264.5+264.5</f>
        <v>524.79999999999995</v>
      </c>
    </row>
    <row r="270" spans="1:7" ht="60" x14ac:dyDescent="0.25">
      <c r="A270" s="79" t="s">
        <v>527</v>
      </c>
      <c r="B270" s="21" t="s">
        <v>142</v>
      </c>
      <c r="C270" s="21" t="s">
        <v>98</v>
      </c>
      <c r="D270" s="22"/>
      <c r="E270" s="59">
        <f>E271+E282</f>
        <v>34562.1</v>
      </c>
      <c r="F270" s="59">
        <f>F271+F282</f>
        <v>29430.3</v>
      </c>
      <c r="G270" s="59">
        <f>G271+G282</f>
        <v>22838.1</v>
      </c>
    </row>
    <row r="271" spans="1:7" ht="45" x14ac:dyDescent="0.25">
      <c r="A271" s="80" t="s">
        <v>143</v>
      </c>
      <c r="B271" s="21" t="s">
        <v>142</v>
      </c>
      <c r="C271" s="21" t="s">
        <v>144</v>
      </c>
      <c r="D271" s="22"/>
      <c r="E271" s="59">
        <f>E272+E277</f>
        <v>11381.1</v>
      </c>
      <c r="F271" s="59">
        <f>F272+F277</f>
        <v>15916.9</v>
      </c>
      <c r="G271" s="59">
        <f>G272+G277</f>
        <v>9912.5999999999985</v>
      </c>
    </row>
    <row r="272" spans="1:7" ht="30" x14ac:dyDescent="0.25">
      <c r="A272" s="89" t="s">
        <v>246</v>
      </c>
      <c r="B272" s="21" t="s">
        <v>142</v>
      </c>
      <c r="C272" s="21" t="s">
        <v>247</v>
      </c>
      <c r="D272" s="22"/>
      <c r="E272" s="59">
        <f>E275</f>
        <v>10280.700000000001</v>
      </c>
      <c r="F272" s="59">
        <f t="shared" ref="F272:G272" si="55">F275</f>
        <v>13781.4</v>
      </c>
      <c r="G272" s="59">
        <f t="shared" si="55"/>
        <v>8906.7999999999993</v>
      </c>
    </row>
    <row r="273" spans="1:7" ht="45" hidden="1" x14ac:dyDescent="0.25">
      <c r="A273" s="80" t="s">
        <v>248</v>
      </c>
      <c r="B273" s="21" t="s">
        <v>142</v>
      </c>
      <c r="C273" s="21" t="s">
        <v>249</v>
      </c>
      <c r="D273" s="22"/>
      <c r="E273" s="59">
        <f>SUM(E274)</f>
        <v>0</v>
      </c>
      <c r="F273" s="59">
        <f>SUM(F274)</f>
        <v>0</v>
      </c>
      <c r="G273" s="59">
        <f>SUM(G274)</f>
        <v>0</v>
      </c>
    </row>
    <row r="274" spans="1:7" hidden="1" x14ac:dyDescent="0.25">
      <c r="A274" s="82" t="s">
        <v>22</v>
      </c>
      <c r="B274" s="21" t="s">
        <v>142</v>
      </c>
      <c r="C274" s="21" t="s">
        <v>249</v>
      </c>
      <c r="D274" s="22">
        <v>800</v>
      </c>
      <c r="E274" s="60">
        <f>10280.7-10280.7</f>
        <v>0</v>
      </c>
      <c r="F274" s="60">
        <f>13781.4-13781.4</f>
        <v>0</v>
      </c>
      <c r="G274" s="20">
        <f>8906.8-8906.8</f>
        <v>0</v>
      </c>
    </row>
    <row r="275" spans="1:7" ht="75" x14ac:dyDescent="0.25">
      <c r="A275" s="79" t="s">
        <v>555</v>
      </c>
      <c r="B275" s="91" t="s">
        <v>142</v>
      </c>
      <c r="C275" s="91" t="s">
        <v>518</v>
      </c>
      <c r="D275" s="92"/>
      <c r="E275" s="60">
        <f>E276</f>
        <v>10280.700000000001</v>
      </c>
      <c r="F275" s="60">
        <f t="shared" ref="F275:G275" si="56">F276</f>
        <v>13781.4</v>
      </c>
      <c r="G275" s="60">
        <f t="shared" si="56"/>
        <v>8906.7999999999993</v>
      </c>
    </row>
    <row r="276" spans="1:7" x14ac:dyDescent="0.25">
      <c r="A276" s="87" t="s">
        <v>22</v>
      </c>
      <c r="B276" s="91" t="s">
        <v>142</v>
      </c>
      <c r="C276" s="91" t="s">
        <v>518</v>
      </c>
      <c r="D276" s="92">
        <v>800</v>
      </c>
      <c r="E276" s="60">
        <v>10280.700000000001</v>
      </c>
      <c r="F276" s="60">
        <v>13781.4</v>
      </c>
      <c r="G276" s="20">
        <v>8906.7999999999993</v>
      </c>
    </row>
    <row r="277" spans="1:7" ht="45" x14ac:dyDescent="0.25">
      <c r="A277" s="80" t="s">
        <v>145</v>
      </c>
      <c r="B277" s="81" t="s">
        <v>142</v>
      </c>
      <c r="C277" s="81" t="s">
        <v>146</v>
      </c>
      <c r="D277" s="88"/>
      <c r="E277" s="20">
        <f>E278+E280</f>
        <v>1100.4000000000001</v>
      </c>
      <c r="F277" s="20">
        <f>F278+F280</f>
        <v>2135.5</v>
      </c>
      <c r="G277" s="20">
        <f>G278+G280</f>
        <v>1005.8</v>
      </c>
    </row>
    <row r="278" spans="1:7" ht="45" x14ac:dyDescent="0.25">
      <c r="A278" s="82" t="s">
        <v>147</v>
      </c>
      <c r="B278" s="81" t="s">
        <v>142</v>
      </c>
      <c r="C278" s="81" t="s">
        <v>148</v>
      </c>
      <c r="D278" s="88"/>
      <c r="E278" s="20">
        <f>E279</f>
        <v>504.9</v>
      </c>
      <c r="F278" s="20">
        <f>F279</f>
        <v>227.7</v>
      </c>
      <c r="G278" s="20">
        <f>G279</f>
        <v>139.19999999999999</v>
      </c>
    </row>
    <row r="279" spans="1:7" ht="30" x14ac:dyDescent="0.25">
      <c r="A279" s="1" t="s">
        <v>21</v>
      </c>
      <c r="B279" s="81" t="s">
        <v>142</v>
      </c>
      <c r="C279" s="81" t="s">
        <v>148</v>
      </c>
      <c r="D279" s="88">
        <v>200</v>
      </c>
      <c r="E279" s="60">
        <f>179.9+325</f>
        <v>504.9</v>
      </c>
      <c r="F279" s="60">
        <v>227.7</v>
      </c>
      <c r="G279" s="20">
        <v>139.19999999999999</v>
      </c>
    </row>
    <row r="280" spans="1:7" ht="30" x14ac:dyDescent="0.25">
      <c r="A280" s="82" t="s">
        <v>250</v>
      </c>
      <c r="B280" s="81" t="s">
        <v>142</v>
      </c>
      <c r="C280" s="81" t="s">
        <v>251</v>
      </c>
      <c r="D280" s="88"/>
      <c r="E280" s="20">
        <f>E281</f>
        <v>595.5</v>
      </c>
      <c r="F280" s="20">
        <f>F281</f>
        <v>1907.8</v>
      </c>
      <c r="G280" s="20">
        <f>G281</f>
        <v>866.6</v>
      </c>
    </row>
    <row r="281" spans="1:7" ht="30" x14ac:dyDescent="0.25">
      <c r="A281" s="1" t="s">
        <v>21</v>
      </c>
      <c r="B281" s="81" t="s">
        <v>142</v>
      </c>
      <c r="C281" s="81" t="s">
        <v>251</v>
      </c>
      <c r="D281" s="88">
        <v>200</v>
      </c>
      <c r="E281" s="60">
        <v>595.5</v>
      </c>
      <c r="F281" s="60">
        <v>1907.8</v>
      </c>
      <c r="G281" s="20">
        <v>866.6</v>
      </c>
    </row>
    <row r="282" spans="1:7" ht="30" x14ac:dyDescent="0.25">
      <c r="A282" s="23" t="s">
        <v>149</v>
      </c>
      <c r="B282" s="21" t="s">
        <v>142</v>
      </c>
      <c r="C282" s="21" t="s">
        <v>150</v>
      </c>
      <c r="D282" s="22"/>
      <c r="E282" s="59">
        <f>E283</f>
        <v>23181</v>
      </c>
      <c r="F282" s="59">
        <f>F283</f>
        <v>13513.4</v>
      </c>
      <c r="G282" s="59">
        <f>G283</f>
        <v>12925.5</v>
      </c>
    </row>
    <row r="283" spans="1:7" ht="30" x14ac:dyDescent="0.25">
      <c r="A283" s="23" t="s">
        <v>151</v>
      </c>
      <c r="B283" s="21" t="s">
        <v>142</v>
      </c>
      <c r="C283" s="21" t="s">
        <v>152</v>
      </c>
      <c r="D283" s="22"/>
      <c r="E283" s="59">
        <f>E284+E286</f>
        <v>23181</v>
      </c>
      <c r="F283" s="59">
        <f>F284+F286</f>
        <v>13513.4</v>
      </c>
      <c r="G283" s="59">
        <f>G284+G286</f>
        <v>12925.5</v>
      </c>
    </row>
    <row r="284" spans="1:7" x14ac:dyDescent="0.25">
      <c r="A284" s="23" t="s">
        <v>153</v>
      </c>
      <c r="B284" s="21" t="s">
        <v>142</v>
      </c>
      <c r="C284" s="21" t="s">
        <v>154</v>
      </c>
      <c r="D284" s="22"/>
      <c r="E284" s="59">
        <f>SUM(E285)</f>
        <v>11181</v>
      </c>
      <c r="F284" s="59">
        <f>SUM(F285)</f>
        <v>1513.4</v>
      </c>
      <c r="G284" s="59">
        <f>SUM(G285)</f>
        <v>925.5</v>
      </c>
    </row>
    <row r="285" spans="1:7" ht="30" x14ac:dyDescent="0.25">
      <c r="A285" s="1" t="s">
        <v>21</v>
      </c>
      <c r="B285" s="21" t="s">
        <v>142</v>
      </c>
      <c r="C285" s="21" t="s">
        <v>154</v>
      </c>
      <c r="D285" s="22">
        <v>200</v>
      </c>
      <c r="E285" s="60">
        <f>1195.9+4681.2+5303.9</f>
        <v>11181</v>
      </c>
      <c r="F285" s="60">
        <v>1513.4</v>
      </c>
      <c r="G285" s="20">
        <v>925.5</v>
      </c>
    </row>
    <row r="286" spans="1:7" ht="45" x14ac:dyDescent="0.25">
      <c r="A286" s="23" t="s">
        <v>406</v>
      </c>
      <c r="B286" s="21" t="s">
        <v>142</v>
      </c>
      <c r="C286" s="21" t="s">
        <v>407</v>
      </c>
      <c r="D286" s="22"/>
      <c r="E286" s="59">
        <f>SUM(E287)</f>
        <v>12000</v>
      </c>
      <c r="F286" s="59">
        <f>SUM(F287)</f>
        <v>12000</v>
      </c>
      <c r="G286" s="59">
        <f>SUM(G287)</f>
        <v>12000</v>
      </c>
    </row>
    <row r="287" spans="1:7" ht="30" x14ac:dyDescent="0.25">
      <c r="A287" s="1" t="s">
        <v>21</v>
      </c>
      <c r="B287" s="21" t="s">
        <v>142</v>
      </c>
      <c r="C287" s="21" t="s">
        <v>407</v>
      </c>
      <c r="D287" s="22">
        <v>200</v>
      </c>
      <c r="E287" s="20">
        <f>8202+3798</f>
        <v>12000</v>
      </c>
      <c r="F287" s="20">
        <v>12000</v>
      </c>
      <c r="G287" s="20">
        <v>12000</v>
      </c>
    </row>
    <row r="288" spans="1:7" x14ac:dyDescent="0.25">
      <c r="A288" s="85" t="s">
        <v>155</v>
      </c>
      <c r="B288" s="24" t="s">
        <v>156</v>
      </c>
      <c r="C288" s="24"/>
      <c r="D288" s="25"/>
      <c r="E288" s="12">
        <f>SUM(E294)+E289</f>
        <v>189884.5</v>
      </c>
      <c r="F288" s="12">
        <f>SUM(F294)+F289</f>
        <v>72742.099999999991</v>
      </c>
      <c r="G288" s="12">
        <f>SUM(G294)+G289</f>
        <v>67488.399999999994</v>
      </c>
    </row>
    <row r="289" spans="1:7" x14ac:dyDescent="0.25">
      <c r="A289" s="1" t="s">
        <v>10</v>
      </c>
      <c r="B289" s="21" t="s">
        <v>156</v>
      </c>
      <c r="C289" s="16" t="s">
        <v>11</v>
      </c>
      <c r="D289" s="22"/>
      <c r="E289" s="59">
        <f t="shared" ref="E289:G290" si="57">SUM(E290)</f>
        <v>108940.99999999999</v>
      </c>
      <c r="F289" s="59">
        <f t="shared" si="57"/>
        <v>60791.299999999996</v>
      </c>
      <c r="G289" s="59">
        <f t="shared" si="57"/>
        <v>60791.299999999996</v>
      </c>
    </row>
    <row r="290" spans="1:7" x14ac:dyDescent="0.25">
      <c r="A290" s="61" t="s">
        <v>44</v>
      </c>
      <c r="B290" s="81" t="s">
        <v>156</v>
      </c>
      <c r="C290" s="81" t="s">
        <v>45</v>
      </c>
      <c r="D290" s="88"/>
      <c r="E290" s="59">
        <f t="shared" si="57"/>
        <v>108940.99999999999</v>
      </c>
      <c r="F290" s="59">
        <f t="shared" si="57"/>
        <v>60791.299999999996</v>
      </c>
      <c r="G290" s="59">
        <f t="shared" si="57"/>
        <v>60791.299999999996</v>
      </c>
    </row>
    <row r="291" spans="1:7" ht="135" x14ac:dyDescent="0.25">
      <c r="A291" s="87" t="s">
        <v>544</v>
      </c>
      <c r="B291" s="81" t="s">
        <v>156</v>
      </c>
      <c r="C291" s="81" t="s">
        <v>252</v>
      </c>
      <c r="D291" s="88"/>
      <c r="E291" s="59">
        <f>E292+E293</f>
        <v>108940.99999999999</v>
      </c>
      <c r="F291" s="59">
        <f>F292+F293</f>
        <v>60791.299999999996</v>
      </c>
      <c r="G291" s="59">
        <f>G292+G293</f>
        <v>60791.299999999996</v>
      </c>
    </row>
    <row r="292" spans="1:7" ht="30" x14ac:dyDescent="0.25">
      <c r="A292" s="1" t="s">
        <v>21</v>
      </c>
      <c r="B292" s="21" t="s">
        <v>156</v>
      </c>
      <c r="C292" s="21" t="s">
        <v>252</v>
      </c>
      <c r="D292" s="22">
        <v>200</v>
      </c>
      <c r="E292" s="60">
        <v>41.7</v>
      </c>
      <c r="F292" s="20">
        <v>41.7</v>
      </c>
      <c r="G292" s="20">
        <v>41.7</v>
      </c>
    </row>
    <row r="293" spans="1:7" x14ac:dyDescent="0.25">
      <c r="A293" s="82" t="s">
        <v>22</v>
      </c>
      <c r="B293" s="81" t="s">
        <v>156</v>
      </c>
      <c r="C293" s="81" t="s">
        <v>252</v>
      </c>
      <c r="D293" s="88">
        <v>800</v>
      </c>
      <c r="E293" s="60">
        <f>11403.5+49346.1+34595.3+13554.4</f>
        <v>108899.29999999999</v>
      </c>
      <c r="F293" s="20">
        <f>11403.5+49346.1</f>
        <v>60749.599999999999</v>
      </c>
      <c r="G293" s="20">
        <f>11403.5+49346.1</f>
        <v>60749.599999999999</v>
      </c>
    </row>
    <row r="294" spans="1:7" ht="60" x14ac:dyDescent="0.25">
      <c r="A294" s="98" t="s">
        <v>534</v>
      </c>
      <c r="B294" s="21" t="s">
        <v>156</v>
      </c>
      <c r="C294" s="21" t="s">
        <v>98</v>
      </c>
      <c r="D294" s="22"/>
      <c r="E294" s="59">
        <f>SUM(E295)</f>
        <v>80943.5</v>
      </c>
      <c r="F294" s="59">
        <f>SUM(F295)</f>
        <v>11950.8</v>
      </c>
      <c r="G294" s="59">
        <f>SUM(G295)</f>
        <v>6697.1</v>
      </c>
    </row>
    <row r="295" spans="1:7" ht="45" x14ac:dyDescent="0.25">
      <c r="A295" s="99" t="s">
        <v>143</v>
      </c>
      <c r="B295" s="21" t="s">
        <v>156</v>
      </c>
      <c r="C295" s="21" t="s">
        <v>144</v>
      </c>
      <c r="D295" s="22"/>
      <c r="E295" s="59">
        <f>SUM(E296)+E321+E326</f>
        <v>80943.5</v>
      </c>
      <c r="F295" s="59">
        <f t="shared" ref="F295:G295" si="58">SUM(F296)+F321+F326</f>
        <v>11950.8</v>
      </c>
      <c r="G295" s="59">
        <f t="shared" si="58"/>
        <v>6697.1</v>
      </c>
    </row>
    <row r="296" spans="1:7" ht="30" x14ac:dyDescent="0.25">
      <c r="A296" s="99" t="s">
        <v>157</v>
      </c>
      <c r="B296" s="21" t="s">
        <v>156</v>
      </c>
      <c r="C296" s="21" t="s">
        <v>158</v>
      </c>
      <c r="D296" s="22"/>
      <c r="E296" s="59">
        <f>E301+E303+E305+E309+E311+E313+E315+E317+E306+E318+E297</f>
        <v>61156.7</v>
      </c>
      <c r="F296" s="59">
        <f t="shared" ref="F296:G296" si="59">F301+F303+F305+F309+F311+F313+F315+F317+F306+F318+F297</f>
        <v>3595</v>
      </c>
      <c r="G296" s="59">
        <f t="shared" si="59"/>
        <v>1587</v>
      </c>
    </row>
    <row r="297" spans="1:7" ht="75" x14ac:dyDescent="0.25">
      <c r="A297" s="135" t="s">
        <v>582</v>
      </c>
      <c r="B297" s="21" t="s">
        <v>156</v>
      </c>
      <c r="C297" s="21" t="s">
        <v>583</v>
      </c>
      <c r="D297" s="92"/>
      <c r="E297" s="59">
        <f>E299+E298</f>
        <v>14644.400000000001</v>
      </c>
      <c r="F297" s="59">
        <f t="shared" ref="F297:G297" si="60">F299+F298</f>
        <v>0</v>
      </c>
      <c r="G297" s="59">
        <f t="shared" si="60"/>
        <v>0</v>
      </c>
    </row>
    <row r="298" spans="1:7" ht="30" x14ac:dyDescent="0.25">
      <c r="A298" s="1" t="s">
        <v>21</v>
      </c>
      <c r="B298" s="21" t="s">
        <v>156</v>
      </c>
      <c r="C298" s="21" t="s">
        <v>583</v>
      </c>
      <c r="D298" s="92">
        <v>200</v>
      </c>
      <c r="E298" s="59">
        <v>11075.2</v>
      </c>
      <c r="F298" s="59">
        <v>0</v>
      </c>
      <c r="G298" s="59">
        <v>0</v>
      </c>
    </row>
    <row r="299" spans="1:7" ht="30" x14ac:dyDescent="0.25">
      <c r="A299" s="133" t="s">
        <v>78</v>
      </c>
      <c r="B299" s="21" t="s">
        <v>156</v>
      </c>
      <c r="C299" s="21" t="s">
        <v>583</v>
      </c>
      <c r="D299" s="22">
        <v>400</v>
      </c>
      <c r="E299" s="59">
        <f>243.2+3326+545+10355.2-10900.2</f>
        <v>3569.2000000000007</v>
      </c>
      <c r="F299" s="59">
        <v>0</v>
      </c>
      <c r="G299" s="59">
        <v>0</v>
      </c>
    </row>
    <row r="300" spans="1:7" ht="30" x14ac:dyDescent="0.25">
      <c r="A300" s="100" t="s">
        <v>441</v>
      </c>
      <c r="B300" s="91" t="s">
        <v>156</v>
      </c>
      <c r="C300" s="91" t="s">
        <v>442</v>
      </c>
      <c r="D300" s="92"/>
      <c r="E300" s="59">
        <f>SUM(E301)</f>
        <v>1330.5</v>
      </c>
      <c r="F300" s="59">
        <f>SUM(F301)</f>
        <v>2595</v>
      </c>
      <c r="G300" s="59">
        <f>SUM(G301)</f>
        <v>1587</v>
      </c>
    </row>
    <row r="301" spans="1:7" ht="30" x14ac:dyDescent="0.25">
      <c r="A301" s="1" t="s">
        <v>21</v>
      </c>
      <c r="B301" s="91" t="s">
        <v>156</v>
      </c>
      <c r="C301" s="91" t="s">
        <v>442</v>
      </c>
      <c r="D301" s="92">
        <v>200</v>
      </c>
      <c r="E301" s="60">
        <f>2050.5-545-175</f>
        <v>1330.5</v>
      </c>
      <c r="F301" s="60">
        <v>2595</v>
      </c>
      <c r="G301" s="20">
        <v>1587</v>
      </c>
    </row>
    <row r="302" spans="1:7" x14ac:dyDescent="0.25">
      <c r="A302" s="98" t="s">
        <v>495</v>
      </c>
      <c r="B302" s="91" t="s">
        <v>156</v>
      </c>
      <c r="C302" s="91" t="s">
        <v>496</v>
      </c>
      <c r="D302" s="92"/>
      <c r="E302" s="60">
        <f>SUM(E303)</f>
        <v>8072.6</v>
      </c>
      <c r="F302" s="60">
        <f t="shared" ref="F302:G302" si="61">SUM(F303)</f>
        <v>500</v>
      </c>
      <c r="G302" s="60">
        <f t="shared" si="61"/>
        <v>0</v>
      </c>
    </row>
    <row r="303" spans="1:7" ht="30" x14ac:dyDescent="0.25">
      <c r="A303" s="87" t="s">
        <v>78</v>
      </c>
      <c r="B303" s="91" t="s">
        <v>156</v>
      </c>
      <c r="C303" s="91" t="s">
        <v>496</v>
      </c>
      <c r="D303" s="92">
        <v>400</v>
      </c>
      <c r="E303" s="60">
        <f>500-243.2+7815.8</f>
        <v>8072.6</v>
      </c>
      <c r="F303" s="60">
        <v>500</v>
      </c>
      <c r="G303" s="20">
        <v>0</v>
      </c>
    </row>
    <row r="304" spans="1:7" ht="30" x14ac:dyDescent="0.25">
      <c r="A304" s="82" t="s">
        <v>428</v>
      </c>
      <c r="B304" s="81" t="s">
        <v>156</v>
      </c>
      <c r="C304" s="81" t="s">
        <v>159</v>
      </c>
      <c r="D304" s="88"/>
      <c r="E304" s="20">
        <f>E305</f>
        <v>25000</v>
      </c>
      <c r="F304" s="20">
        <f>F305</f>
        <v>0</v>
      </c>
      <c r="G304" s="20">
        <f>G305</f>
        <v>0</v>
      </c>
    </row>
    <row r="305" spans="1:7" ht="30" x14ac:dyDescent="0.25">
      <c r="A305" s="82" t="s">
        <v>78</v>
      </c>
      <c r="B305" s="81" t="s">
        <v>156</v>
      </c>
      <c r="C305" s="81" t="s">
        <v>159</v>
      </c>
      <c r="D305" s="88">
        <v>400</v>
      </c>
      <c r="E305" s="60">
        <v>25000</v>
      </c>
      <c r="F305" s="60"/>
      <c r="G305" s="20"/>
    </row>
    <row r="306" spans="1:7" ht="30" x14ac:dyDescent="0.25">
      <c r="A306" s="132" t="s">
        <v>564</v>
      </c>
      <c r="B306" s="91" t="s">
        <v>156</v>
      </c>
      <c r="C306" s="91" t="s">
        <v>565</v>
      </c>
      <c r="D306" s="92"/>
      <c r="E306" s="60">
        <f>E307</f>
        <v>35.5</v>
      </c>
      <c r="F306" s="60">
        <f t="shared" ref="F306:G306" si="62">F307</f>
        <v>0</v>
      </c>
      <c r="G306" s="60">
        <f t="shared" si="62"/>
        <v>0</v>
      </c>
    </row>
    <row r="307" spans="1:7" ht="30" x14ac:dyDescent="0.25">
      <c r="A307" s="133" t="s">
        <v>78</v>
      </c>
      <c r="B307" s="91" t="s">
        <v>156</v>
      </c>
      <c r="C307" s="91" t="s">
        <v>565</v>
      </c>
      <c r="D307" s="92">
        <v>400</v>
      </c>
      <c r="E307" s="60">
        <v>35.5</v>
      </c>
      <c r="F307" s="60">
        <v>0</v>
      </c>
      <c r="G307" s="20">
        <v>0</v>
      </c>
    </row>
    <row r="308" spans="1:7" ht="30" x14ac:dyDescent="0.25">
      <c r="A308" s="26" t="s">
        <v>497</v>
      </c>
      <c r="B308" s="21" t="s">
        <v>156</v>
      </c>
      <c r="C308" s="21" t="s">
        <v>498</v>
      </c>
      <c r="D308" s="22"/>
      <c r="E308" s="60">
        <f>SUM(E309)</f>
        <v>500</v>
      </c>
      <c r="F308" s="60">
        <f t="shared" ref="F308:G308" si="63">SUM(F309)</f>
        <v>0</v>
      </c>
      <c r="G308" s="60">
        <f t="shared" si="63"/>
        <v>0</v>
      </c>
    </row>
    <row r="309" spans="1:7" ht="30" x14ac:dyDescent="0.25">
      <c r="A309" s="26" t="s">
        <v>78</v>
      </c>
      <c r="B309" s="21" t="s">
        <v>156</v>
      </c>
      <c r="C309" s="21" t="s">
        <v>498</v>
      </c>
      <c r="D309" s="22">
        <v>400</v>
      </c>
      <c r="E309" s="60">
        <v>500</v>
      </c>
      <c r="F309" s="60">
        <v>0</v>
      </c>
      <c r="G309" s="20">
        <v>0</v>
      </c>
    </row>
    <row r="310" spans="1:7" ht="30" x14ac:dyDescent="0.25">
      <c r="A310" s="136" t="s">
        <v>596</v>
      </c>
      <c r="B310" s="21" t="s">
        <v>156</v>
      </c>
      <c r="C310" s="21" t="s">
        <v>451</v>
      </c>
      <c r="D310" s="22"/>
      <c r="E310" s="60">
        <f>SUM(E311)</f>
        <v>2536.6999999999998</v>
      </c>
      <c r="F310" s="60">
        <f t="shared" ref="F310:G310" si="64">SUM(F311)</f>
        <v>500</v>
      </c>
      <c r="G310" s="60">
        <f t="shared" si="64"/>
        <v>0</v>
      </c>
    </row>
    <row r="311" spans="1:7" ht="30" x14ac:dyDescent="0.25">
      <c r="A311" s="26" t="s">
        <v>78</v>
      </c>
      <c r="B311" s="21" t="s">
        <v>156</v>
      </c>
      <c r="C311" s="21" t="s">
        <v>451</v>
      </c>
      <c r="D311" s="22">
        <v>400</v>
      </c>
      <c r="E311" s="60">
        <f>500+2036.7</f>
        <v>2536.6999999999998</v>
      </c>
      <c r="F311" s="60">
        <v>500</v>
      </c>
      <c r="G311" s="20">
        <v>0</v>
      </c>
    </row>
    <row r="312" spans="1:7" ht="30" x14ac:dyDescent="0.25">
      <c r="A312" s="26" t="s">
        <v>625</v>
      </c>
      <c r="B312" s="21" t="s">
        <v>156</v>
      </c>
      <c r="C312" s="21" t="s">
        <v>501</v>
      </c>
      <c r="D312" s="22"/>
      <c r="E312" s="60">
        <f>SUM(E313)</f>
        <v>1800</v>
      </c>
      <c r="F312" s="60">
        <f t="shared" ref="F312:G312" si="65">SUM(F313)</f>
        <v>0</v>
      </c>
      <c r="G312" s="60">
        <f t="shared" si="65"/>
        <v>0</v>
      </c>
    </row>
    <row r="313" spans="1:7" ht="30" x14ac:dyDescent="0.25">
      <c r="A313" s="26" t="s">
        <v>78</v>
      </c>
      <c r="B313" s="21" t="s">
        <v>156</v>
      </c>
      <c r="C313" s="21" t="s">
        <v>501</v>
      </c>
      <c r="D313" s="22">
        <v>400</v>
      </c>
      <c r="E313" s="60">
        <f>500+1300</f>
        <v>1800</v>
      </c>
      <c r="F313" s="60">
        <v>0</v>
      </c>
      <c r="G313" s="20">
        <v>0</v>
      </c>
    </row>
    <row r="314" spans="1:7" ht="35.25" customHeight="1" x14ac:dyDescent="0.25">
      <c r="A314" s="26" t="s">
        <v>499</v>
      </c>
      <c r="B314" s="21" t="s">
        <v>156</v>
      </c>
      <c r="C314" s="21" t="s">
        <v>502</v>
      </c>
      <c r="D314" s="22"/>
      <c r="E314" s="60">
        <f>SUM(E315)</f>
        <v>1100</v>
      </c>
      <c r="F314" s="60">
        <f t="shared" ref="F314:G314" si="66">SUM(F315)</f>
        <v>0</v>
      </c>
      <c r="G314" s="60">
        <f t="shared" si="66"/>
        <v>0</v>
      </c>
    </row>
    <row r="315" spans="1:7" ht="30" x14ac:dyDescent="0.25">
      <c r="A315" s="26" t="s">
        <v>78</v>
      </c>
      <c r="B315" s="21" t="s">
        <v>156</v>
      </c>
      <c r="C315" s="21" t="s">
        <v>502</v>
      </c>
      <c r="D315" s="22">
        <v>400</v>
      </c>
      <c r="E315" s="60">
        <f>500+600</f>
        <v>1100</v>
      </c>
      <c r="F315" s="60">
        <v>0</v>
      </c>
      <c r="G315" s="20">
        <v>0</v>
      </c>
    </row>
    <row r="316" spans="1:7" x14ac:dyDescent="0.25">
      <c r="A316" s="26" t="s">
        <v>500</v>
      </c>
      <c r="B316" s="21" t="s">
        <v>156</v>
      </c>
      <c r="C316" s="21" t="s">
        <v>503</v>
      </c>
      <c r="D316" s="22"/>
      <c r="E316" s="60">
        <f>SUM(E317)</f>
        <v>4337</v>
      </c>
      <c r="F316" s="60">
        <f t="shared" ref="F316:G316" si="67">SUM(F317)</f>
        <v>0</v>
      </c>
      <c r="G316" s="60">
        <f t="shared" si="67"/>
        <v>0</v>
      </c>
    </row>
    <row r="317" spans="1:7" ht="30" x14ac:dyDescent="0.25">
      <c r="A317" s="66" t="s">
        <v>21</v>
      </c>
      <c r="B317" s="21" t="s">
        <v>156</v>
      </c>
      <c r="C317" s="21" t="s">
        <v>503</v>
      </c>
      <c r="D317" s="22">
        <v>200</v>
      </c>
      <c r="E317" s="60">
        <f>500+3837</f>
        <v>4337</v>
      </c>
      <c r="F317" s="60">
        <v>0</v>
      </c>
      <c r="G317" s="20">
        <v>0</v>
      </c>
    </row>
    <row r="318" spans="1:7" ht="45" x14ac:dyDescent="0.25">
      <c r="A318" s="66" t="s">
        <v>566</v>
      </c>
      <c r="B318" s="21" t="s">
        <v>156</v>
      </c>
      <c r="C318" s="21" t="s">
        <v>567</v>
      </c>
      <c r="D318" s="22"/>
      <c r="E318" s="60">
        <f>E319+E320</f>
        <v>1800</v>
      </c>
      <c r="F318" s="60">
        <f t="shared" ref="F318:G318" si="68">F319+F320</f>
        <v>0</v>
      </c>
      <c r="G318" s="60">
        <f t="shared" si="68"/>
        <v>0</v>
      </c>
    </row>
    <row r="319" spans="1:7" ht="30" x14ac:dyDescent="0.25">
      <c r="A319" s="66" t="s">
        <v>21</v>
      </c>
      <c r="B319" s="21" t="s">
        <v>156</v>
      </c>
      <c r="C319" s="21" t="s">
        <v>567</v>
      </c>
      <c r="D319" s="22">
        <v>200</v>
      </c>
      <c r="E319" s="60">
        <f>5351-3551-1800</f>
        <v>0</v>
      </c>
      <c r="F319" s="60">
        <v>0</v>
      </c>
      <c r="G319" s="60">
        <v>0</v>
      </c>
    </row>
    <row r="320" spans="1:7" ht="30" x14ac:dyDescent="0.25">
      <c r="A320" s="26" t="s">
        <v>78</v>
      </c>
      <c r="B320" s="21" t="s">
        <v>156</v>
      </c>
      <c r="C320" s="21" t="s">
        <v>567</v>
      </c>
      <c r="D320" s="22">
        <v>400</v>
      </c>
      <c r="E320" s="60">
        <v>1800</v>
      </c>
      <c r="F320" s="60">
        <v>0</v>
      </c>
      <c r="G320" s="60">
        <v>0</v>
      </c>
    </row>
    <row r="321" spans="1:7" ht="30" x14ac:dyDescent="0.25">
      <c r="A321" s="99" t="s">
        <v>246</v>
      </c>
      <c r="B321" s="21" t="s">
        <v>156</v>
      </c>
      <c r="C321" s="21" t="s">
        <v>247</v>
      </c>
      <c r="D321" s="22"/>
      <c r="E321" s="59">
        <f>SUM(E322)+E324</f>
        <v>6602.5</v>
      </c>
      <c r="F321" s="59">
        <f t="shared" ref="F321:G321" si="69">SUM(F322)+F324</f>
        <v>8355.7999999999993</v>
      </c>
      <c r="G321" s="59">
        <f t="shared" si="69"/>
        <v>5110.1000000000004</v>
      </c>
    </row>
    <row r="322" spans="1:7" ht="30" hidden="1" x14ac:dyDescent="0.25">
      <c r="A322" s="97" t="s">
        <v>253</v>
      </c>
      <c r="B322" s="21" t="s">
        <v>156</v>
      </c>
      <c r="C322" s="21" t="s">
        <v>254</v>
      </c>
      <c r="D322" s="22"/>
      <c r="E322" s="59">
        <f t="shared" ref="E322:G324" si="70">SUM(E323)</f>
        <v>0</v>
      </c>
      <c r="F322" s="59">
        <f t="shared" si="70"/>
        <v>0</v>
      </c>
      <c r="G322" s="59">
        <f t="shared" si="70"/>
        <v>0</v>
      </c>
    </row>
    <row r="323" spans="1:7" hidden="1" x14ac:dyDescent="0.25">
      <c r="A323" s="23" t="s">
        <v>22</v>
      </c>
      <c r="B323" s="21" t="s">
        <v>156</v>
      </c>
      <c r="C323" s="21" t="s">
        <v>254</v>
      </c>
      <c r="D323" s="22">
        <v>800</v>
      </c>
      <c r="E323" s="60">
        <f>6602.5-6602.5</f>
        <v>0</v>
      </c>
      <c r="F323" s="60">
        <f>8355.8-8355.8</f>
        <v>0</v>
      </c>
      <c r="G323" s="20">
        <f>5110.1-5110.1</f>
        <v>0</v>
      </c>
    </row>
    <row r="324" spans="1:7" ht="60" x14ac:dyDescent="0.25">
      <c r="A324" s="79" t="s">
        <v>556</v>
      </c>
      <c r="B324" s="91" t="s">
        <v>156</v>
      </c>
      <c r="C324" s="91" t="s">
        <v>522</v>
      </c>
      <c r="D324" s="22"/>
      <c r="E324" s="59">
        <f t="shared" si="70"/>
        <v>6602.5</v>
      </c>
      <c r="F324" s="59">
        <f t="shared" si="70"/>
        <v>8355.7999999999993</v>
      </c>
      <c r="G324" s="59">
        <f t="shared" si="70"/>
        <v>5110.1000000000004</v>
      </c>
    </row>
    <row r="325" spans="1:7" x14ac:dyDescent="0.25">
      <c r="A325" s="87" t="s">
        <v>22</v>
      </c>
      <c r="B325" s="91" t="s">
        <v>156</v>
      </c>
      <c r="C325" s="91" t="s">
        <v>522</v>
      </c>
      <c r="D325" s="22">
        <v>800</v>
      </c>
      <c r="E325" s="60">
        <v>6602.5</v>
      </c>
      <c r="F325" s="60">
        <v>8355.7999999999993</v>
      </c>
      <c r="G325" s="20">
        <v>5110.1000000000004</v>
      </c>
    </row>
    <row r="326" spans="1:7" ht="45" x14ac:dyDescent="0.25">
      <c r="A326" s="94" t="s">
        <v>145</v>
      </c>
      <c r="B326" s="91" t="s">
        <v>156</v>
      </c>
      <c r="C326" s="91" t="s">
        <v>146</v>
      </c>
      <c r="D326" s="92"/>
      <c r="E326" s="60">
        <f>E327+E329</f>
        <v>13184.3</v>
      </c>
      <c r="F326" s="60">
        <f t="shared" ref="F326:G326" si="71">F327+F329</f>
        <v>0</v>
      </c>
      <c r="G326" s="60">
        <f t="shared" si="71"/>
        <v>0</v>
      </c>
    </row>
    <row r="327" spans="1:7" ht="30" x14ac:dyDescent="0.25">
      <c r="A327" s="94" t="s">
        <v>612</v>
      </c>
      <c r="B327" s="91" t="s">
        <v>156</v>
      </c>
      <c r="C327" s="91" t="s">
        <v>613</v>
      </c>
      <c r="D327" s="92"/>
      <c r="E327" s="60">
        <f>E328</f>
        <v>100</v>
      </c>
      <c r="F327" s="60">
        <f t="shared" ref="F327:G327" si="72">F328</f>
        <v>0</v>
      </c>
      <c r="G327" s="60">
        <f t="shared" si="72"/>
        <v>0</v>
      </c>
    </row>
    <row r="328" spans="1:7" ht="30" x14ac:dyDescent="0.25">
      <c r="A328" s="66" t="s">
        <v>21</v>
      </c>
      <c r="B328" s="91" t="s">
        <v>156</v>
      </c>
      <c r="C328" s="91" t="s">
        <v>613</v>
      </c>
      <c r="D328" s="92">
        <v>200</v>
      </c>
      <c r="E328" s="60">
        <v>100</v>
      </c>
      <c r="F328" s="60">
        <v>0</v>
      </c>
      <c r="G328" s="60">
        <v>0</v>
      </c>
    </row>
    <row r="329" spans="1:7" ht="30" x14ac:dyDescent="0.25">
      <c r="A329" s="66" t="s">
        <v>587</v>
      </c>
      <c r="B329" s="91" t="s">
        <v>156</v>
      </c>
      <c r="C329" s="91" t="s">
        <v>614</v>
      </c>
      <c r="D329" s="92"/>
      <c r="E329" s="60">
        <f>E330</f>
        <v>13084.3</v>
      </c>
      <c r="F329" s="60">
        <f t="shared" ref="F329:G329" si="73">F330</f>
        <v>0</v>
      </c>
      <c r="G329" s="60">
        <f t="shared" si="73"/>
        <v>0</v>
      </c>
    </row>
    <row r="330" spans="1:7" ht="30" x14ac:dyDescent="0.25">
      <c r="A330" s="66" t="s">
        <v>21</v>
      </c>
      <c r="B330" s="91" t="s">
        <v>156</v>
      </c>
      <c r="C330" s="91" t="s">
        <v>614</v>
      </c>
      <c r="D330" s="92">
        <v>200</v>
      </c>
      <c r="E330" s="60">
        <f>1850+11234.3</f>
        <v>13084.3</v>
      </c>
      <c r="F330" s="60">
        <v>0</v>
      </c>
      <c r="G330" s="60">
        <v>0</v>
      </c>
    </row>
    <row r="331" spans="1:7" x14ac:dyDescent="0.25">
      <c r="A331" s="87"/>
      <c r="B331" s="91"/>
      <c r="C331" s="91"/>
      <c r="D331" s="22"/>
      <c r="E331" s="60"/>
      <c r="F331" s="60"/>
      <c r="G331" s="20"/>
    </row>
    <row r="332" spans="1:7" x14ac:dyDescent="0.25">
      <c r="A332" s="85" t="s">
        <v>255</v>
      </c>
      <c r="B332" s="24" t="s">
        <v>256</v>
      </c>
      <c r="C332" s="24"/>
      <c r="D332" s="25"/>
      <c r="E332" s="12">
        <f>E336+E364+E373+E333</f>
        <v>473763.4</v>
      </c>
      <c r="F332" s="12">
        <f>F336+F364+F373+F333</f>
        <v>238968.80000000002</v>
      </c>
      <c r="G332" s="12">
        <f>G336+G364+G373+G333</f>
        <v>180981.1</v>
      </c>
    </row>
    <row r="333" spans="1:7" hidden="1" x14ac:dyDescent="0.25">
      <c r="A333" s="97" t="s">
        <v>10</v>
      </c>
      <c r="B333" s="21" t="s">
        <v>256</v>
      </c>
      <c r="C333" s="81" t="s">
        <v>11</v>
      </c>
      <c r="D333" s="25"/>
      <c r="E333" s="59">
        <f>E334</f>
        <v>0</v>
      </c>
      <c r="F333" s="59">
        <f t="shared" ref="F333:G334" si="74">F334</f>
        <v>0</v>
      </c>
      <c r="G333" s="59">
        <f t="shared" si="74"/>
        <v>0</v>
      </c>
    </row>
    <row r="334" spans="1:7" hidden="1" x14ac:dyDescent="0.25">
      <c r="A334" s="97" t="s">
        <v>227</v>
      </c>
      <c r="B334" s="21" t="s">
        <v>256</v>
      </c>
      <c r="C334" s="81" t="s">
        <v>228</v>
      </c>
      <c r="D334" s="25"/>
      <c r="E334" s="59">
        <f>E335</f>
        <v>0</v>
      </c>
      <c r="F334" s="59">
        <f t="shared" si="74"/>
        <v>0</v>
      </c>
      <c r="G334" s="59">
        <f t="shared" si="74"/>
        <v>0</v>
      </c>
    </row>
    <row r="335" spans="1:7" ht="30" hidden="1" x14ac:dyDescent="0.25">
      <c r="A335" s="1" t="s">
        <v>21</v>
      </c>
      <c r="B335" s="21" t="s">
        <v>256</v>
      </c>
      <c r="C335" s="81" t="s">
        <v>228</v>
      </c>
      <c r="D335" s="22">
        <v>200</v>
      </c>
      <c r="E335" s="59">
        <f>191.2-191.2</f>
        <v>0</v>
      </c>
      <c r="F335" s="59">
        <v>0</v>
      </c>
      <c r="G335" s="59">
        <v>0</v>
      </c>
    </row>
    <row r="336" spans="1:7" ht="60" x14ac:dyDescent="0.25">
      <c r="A336" s="79" t="s">
        <v>527</v>
      </c>
      <c r="B336" s="21" t="s">
        <v>256</v>
      </c>
      <c r="C336" s="81" t="s">
        <v>98</v>
      </c>
      <c r="D336" s="88"/>
      <c r="E336" s="59">
        <f>SUM(E337)</f>
        <v>339913.7</v>
      </c>
      <c r="F336" s="59">
        <f t="shared" ref="F336:G336" si="75">SUM(F337)</f>
        <v>234184.30000000002</v>
      </c>
      <c r="G336" s="59">
        <f t="shared" si="75"/>
        <v>176196.6</v>
      </c>
    </row>
    <row r="337" spans="1:7" x14ac:dyDescent="0.25">
      <c r="A337" s="80" t="s">
        <v>99</v>
      </c>
      <c r="B337" s="21" t="s">
        <v>256</v>
      </c>
      <c r="C337" s="81" t="s">
        <v>100</v>
      </c>
      <c r="D337" s="88"/>
      <c r="E337" s="59">
        <f>SUM(E338)+E361</f>
        <v>339913.7</v>
      </c>
      <c r="F337" s="59">
        <f t="shared" ref="F337:G337" si="76">SUM(F338)+F361</f>
        <v>234184.30000000002</v>
      </c>
      <c r="G337" s="59">
        <f t="shared" si="76"/>
        <v>176196.6</v>
      </c>
    </row>
    <row r="338" spans="1:7" ht="30" x14ac:dyDescent="0.25">
      <c r="A338" s="80" t="s">
        <v>101</v>
      </c>
      <c r="B338" s="21" t="s">
        <v>256</v>
      </c>
      <c r="C338" s="81" t="s">
        <v>102</v>
      </c>
      <c r="D338" s="88"/>
      <c r="E338" s="59">
        <f>SUM(E343+E345+E347+E351+E355)+E339+E341+E349+E353+E359+E357</f>
        <v>289913.7</v>
      </c>
      <c r="F338" s="59">
        <f t="shared" ref="F338:G338" si="77">SUM(F343+F345+F347+F351+F355)+F339+F341+F349+F353+F359+F357</f>
        <v>234184.30000000002</v>
      </c>
      <c r="G338" s="59">
        <f t="shared" si="77"/>
        <v>176196.6</v>
      </c>
    </row>
    <row r="339" spans="1:7" x14ac:dyDescent="0.25">
      <c r="A339" s="79" t="s">
        <v>443</v>
      </c>
      <c r="B339" s="91" t="s">
        <v>256</v>
      </c>
      <c r="C339" s="91" t="s">
        <v>444</v>
      </c>
      <c r="D339" s="92"/>
      <c r="E339" s="59">
        <f>E340</f>
        <v>732</v>
      </c>
      <c r="F339" s="59">
        <f>F340</f>
        <v>0</v>
      </c>
      <c r="G339" s="59">
        <f>G340</f>
        <v>0</v>
      </c>
    </row>
    <row r="340" spans="1:7" ht="30" x14ac:dyDescent="0.25">
      <c r="A340" s="26" t="s">
        <v>78</v>
      </c>
      <c r="B340" s="91" t="s">
        <v>256</v>
      </c>
      <c r="C340" s="91" t="s">
        <v>444</v>
      </c>
      <c r="D340" s="92">
        <v>400</v>
      </c>
      <c r="E340" s="60">
        <f>8500-7768</f>
        <v>732</v>
      </c>
      <c r="F340" s="59">
        <v>0</v>
      </c>
      <c r="G340" s="59">
        <v>0</v>
      </c>
    </row>
    <row r="341" spans="1:7" ht="75" x14ac:dyDescent="0.25">
      <c r="A341" s="87" t="s">
        <v>483</v>
      </c>
      <c r="B341" s="91" t="s">
        <v>256</v>
      </c>
      <c r="C341" s="91" t="s">
        <v>469</v>
      </c>
      <c r="D341" s="92"/>
      <c r="E341" s="59">
        <f>E342</f>
        <v>20814</v>
      </c>
      <c r="F341" s="59">
        <f t="shared" ref="F341:G341" si="78">F342</f>
        <v>12975</v>
      </c>
      <c r="G341" s="59">
        <f t="shared" si="78"/>
        <v>7935</v>
      </c>
    </row>
    <row r="342" spans="1:7" ht="30" x14ac:dyDescent="0.25">
      <c r="A342" s="66" t="s">
        <v>21</v>
      </c>
      <c r="B342" s="91" t="s">
        <v>256</v>
      </c>
      <c r="C342" s="91" t="s">
        <v>469</v>
      </c>
      <c r="D342" s="92">
        <v>200</v>
      </c>
      <c r="E342" s="60">
        <v>20814</v>
      </c>
      <c r="F342" s="60">
        <v>12975</v>
      </c>
      <c r="G342" s="20">
        <v>7935</v>
      </c>
    </row>
    <row r="343" spans="1:7" x14ac:dyDescent="0.25">
      <c r="A343" s="89" t="s">
        <v>257</v>
      </c>
      <c r="B343" s="21" t="s">
        <v>256</v>
      </c>
      <c r="C343" s="81" t="s">
        <v>258</v>
      </c>
      <c r="D343" s="88"/>
      <c r="E343" s="20">
        <f>SUM(E344)</f>
        <v>74919.3</v>
      </c>
      <c r="F343" s="20">
        <f>SUM(F344)</f>
        <v>78197.5</v>
      </c>
      <c r="G343" s="20">
        <f>SUM(G344)</f>
        <v>80801.2</v>
      </c>
    </row>
    <row r="344" spans="1:7" ht="30" x14ac:dyDescent="0.25">
      <c r="A344" s="1" t="s">
        <v>21</v>
      </c>
      <c r="B344" s="21" t="s">
        <v>256</v>
      </c>
      <c r="C344" s="81" t="s">
        <v>258</v>
      </c>
      <c r="D344" s="88">
        <v>200</v>
      </c>
      <c r="E344" s="60">
        <f>74987.2-67.9</f>
        <v>74919.3</v>
      </c>
      <c r="F344" s="60">
        <v>78197.5</v>
      </c>
      <c r="G344" s="20">
        <v>80801.2</v>
      </c>
    </row>
    <row r="345" spans="1:7" x14ac:dyDescent="0.25">
      <c r="A345" s="97" t="s">
        <v>259</v>
      </c>
      <c r="B345" s="21" t="s">
        <v>256</v>
      </c>
      <c r="C345" s="21" t="s">
        <v>260</v>
      </c>
      <c r="D345" s="22"/>
      <c r="E345" s="59">
        <f>SUM(E346)</f>
        <v>21971.8</v>
      </c>
      <c r="F345" s="59">
        <f>SUM(F346)</f>
        <v>18632.599999999999</v>
      </c>
      <c r="G345" s="59">
        <f>SUM(G346)</f>
        <v>11395</v>
      </c>
    </row>
    <row r="346" spans="1:7" ht="30" x14ac:dyDescent="0.25">
      <c r="A346" s="1" t="s">
        <v>21</v>
      </c>
      <c r="B346" s="21" t="s">
        <v>256</v>
      </c>
      <c r="C346" s="21" t="s">
        <v>260</v>
      </c>
      <c r="D346" s="22">
        <v>200</v>
      </c>
      <c r="E346" s="60">
        <f>16158.4+5382.2-4350+3100+1681.2</f>
        <v>21971.8</v>
      </c>
      <c r="F346" s="60">
        <v>18632.599999999999</v>
      </c>
      <c r="G346" s="20">
        <v>11395</v>
      </c>
    </row>
    <row r="347" spans="1:7" ht="75" x14ac:dyDescent="0.25">
      <c r="A347" s="93" t="s">
        <v>261</v>
      </c>
      <c r="B347" s="21" t="s">
        <v>256</v>
      </c>
      <c r="C347" s="21" t="s">
        <v>262</v>
      </c>
      <c r="D347" s="22"/>
      <c r="E347" s="59">
        <f>SUM(E348)</f>
        <v>15326</v>
      </c>
      <c r="F347" s="59">
        <f>SUM(F348)</f>
        <v>0</v>
      </c>
      <c r="G347" s="59">
        <f>SUM(G348)</f>
        <v>0</v>
      </c>
    </row>
    <row r="348" spans="1:7" x14ac:dyDescent="0.25">
      <c r="A348" s="82" t="s">
        <v>22</v>
      </c>
      <c r="B348" s="21" t="s">
        <v>256</v>
      </c>
      <c r="C348" s="21" t="s">
        <v>262</v>
      </c>
      <c r="D348" s="22">
        <v>800</v>
      </c>
      <c r="E348" s="60">
        <f>58008.6-58008.6+15326</f>
        <v>15326</v>
      </c>
      <c r="F348" s="60">
        <f>62603-62603</f>
        <v>0</v>
      </c>
      <c r="G348" s="20">
        <f>38285.5-38285.5</f>
        <v>0</v>
      </c>
    </row>
    <row r="349" spans="1:7" ht="105" x14ac:dyDescent="0.25">
      <c r="A349" s="90" t="s">
        <v>557</v>
      </c>
      <c r="B349" s="91" t="s">
        <v>256</v>
      </c>
      <c r="C349" s="91" t="s">
        <v>519</v>
      </c>
      <c r="D349" s="92"/>
      <c r="E349" s="59">
        <f>SUM(E350)</f>
        <v>60576.7</v>
      </c>
      <c r="F349" s="59">
        <f>SUM(F350)</f>
        <v>62603</v>
      </c>
      <c r="G349" s="59">
        <f>SUM(G350)</f>
        <v>38285.5</v>
      </c>
    </row>
    <row r="350" spans="1:7" x14ac:dyDescent="0.25">
      <c r="A350" s="87" t="s">
        <v>22</v>
      </c>
      <c r="B350" s="91" t="s">
        <v>256</v>
      </c>
      <c r="C350" s="91" t="s">
        <v>519</v>
      </c>
      <c r="D350" s="92">
        <v>800</v>
      </c>
      <c r="E350" s="60">
        <f>58008.6+2568.1</f>
        <v>60576.7</v>
      </c>
      <c r="F350" s="60">
        <v>62603</v>
      </c>
      <c r="G350" s="20">
        <v>38285.5</v>
      </c>
    </row>
    <row r="351" spans="1:7" ht="45" x14ac:dyDescent="0.25">
      <c r="A351" s="80" t="s">
        <v>263</v>
      </c>
      <c r="B351" s="21" t="s">
        <v>256</v>
      </c>
      <c r="C351" s="21" t="s">
        <v>264</v>
      </c>
      <c r="D351" s="22"/>
      <c r="E351" s="59">
        <f>SUM(E352)</f>
        <v>28524.6</v>
      </c>
      <c r="F351" s="59">
        <f>SUM(F352)</f>
        <v>0</v>
      </c>
      <c r="G351" s="59">
        <f>SUM(G352)</f>
        <v>0</v>
      </c>
    </row>
    <row r="352" spans="1:7" x14ac:dyDescent="0.25">
      <c r="A352" s="82" t="s">
        <v>22</v>
      </c>
      <c r="B352" s="21" t="s">
        <v>256</v>
      </c>
      <c r="C352" s="21" t="s">
        <v>264</v>
      </c>
      <c r="D352" s="22">
        <v>800</v>
      </c>
      <c r="E352" s="60">
        <f>14624.6+13900</f>
        <v>28524.6</v>
      </c>
      <c r="F352" s="60">
        <f>33518.8-33518.8</f>
        <v>0</v>
      </c>
      <c r="G352" s="20">
        <f>20498.8-20498.8</f>
        <v>0</v>
      </c>
    </row>
    <row r="353" spans="1:7" ht="75" x14ac:dyDescent="0.25">
      <c r="A353" s="79" t="s">
        <v>558</v>
      </c>
      <c r="B353" s="91" t="s">
        <v>256</v>
      </c>
      <c r="C353" s="91" t="s">
        <v>520</v>
      </c>
      <c r="D353" s="92"/>
      <c r="E353" s="59">
        <f>SUM(E354)</f>
        <v>26485.599999999999</v>
      </c>
      <c r="F353" s="59">
        <f>SUM(F354)</f>
        <v>33518.800000000003</v>
      </c>
      <c r="G353" s="59">
        <f>SUM(G354)</f>
        <v>20498.8</v>
      </c>
    </row>
    <row r="354" spans="1:7" x14ac:dyDescent="0.25">
      <c r="A354" s="87" t="s">
        <v>22</v>
      </c>
      <c r="B354" s="91" t="s">
        <v>256</v>
      </c>
      <c r="C354" s="91" t="s">
        <v>520</v>
      </c>
      <c r="D354" s="92">
        <v>800</v>
      </c>
      <c r="E354" s="60">
        <v>26485.599999999999</v>
      </c>
      <c r="F354" s="60">
        <v>33518.800000000003</v>
      </c>
      <c r="G354" s="20">
        <v>20498.8</v>
      </c>
    </row>
    <row r="355" spans="1:7" ht="45" x14ac:dyDescent="0.25">
      <c r="A355" s="80" t="s">
        <v>265</v>
      </c>
      <c r="B355" s="21" t="s">
        <v>256</v>
      </c>
      <c r="C355" s="81" t="s">
        <v>266</v>
      </c>
      <c r="D355" s="22"/>
      <c r="E355" s="59">
        <f>SUM(E356)</f>
        <v>17872.300000000003</v>
      </c>
      <c r="F355" s="59">
        <f>SUM(F356)</f>
        <v>0</v>
      </c>
      <c r="G355" s="59">
        <f>SUM(G356)</f>
        <v>0</v>
      </c>
    </row>
    <row r="356" spans="1:7" x14ac:dyDescent="0.25">
      <c r="A356" s="82" t="s">
        <v>22</v>
      </c>
      <c r="B356" s="21" t="s">
        <v>256</v>
      </c>
      <c r="C356" s="81" t="s">
        <v>266</v>
      </c>
      <c r="D356" s="22">
        <v>800</v>
      </c>
      <c r="E356" s="60">
        <f>22691.4-22691.4+5054+8238.2+4580.1</f>
        <v>17872.300000000003</v>
      </c>
      <c r="F356" s="60">
        <f>28257.4-28257.4</f>
        <v>0</v>
      </c>
      <c r="G356" s="20">
        <f>17281.1-17281.1</f>
        <v>0</v>
      </c>
    </row>
    <row r="357" spans="1:7" ht="30" x14ac:dyDescent="0.25">
      <c r="A357" s="66" t="s">
        <v>587</v>
      </c>
      <c r="B357" s="91" t="s">
        <v>256</v>
      </c>
      <c r="C357" s="91" t="s">
        <v>603</v>
      </c>
      <c r="D357" s="92"/>
      <c r="E357" s="60">
        <f>E358</f>
        <v>0</v>
      </c>
      <c r="F357" s="60">
        <f t="shared" ref="F357:G357" si="79">F358</f>
        <v>0</v>
      </c>
      <c r="G357" s="60">
        <f t="shared" si="79"/>
        <v>0</v>
      </c>
    </row>
    <row r="358" spans="1:7" ht="30" x14ac:dyDescent="0.25">
      <c r="A358" s="66" t="s">
        <v>21</v>
      </c>
      <c r="B358" s="91" t="s">
        <v>256</v>
      </c>
      <c r="C358" s="91" t="s">
        <v>603</v>
      </c>
      <c r="D358" s="92">
        <v>200</v>
      </c>
      <c r="E358" s="60">
        <f>1850-1850</f>
        <v>0</v>
      </c>
      <c r="F358" s="60">
        <v>0</v>
      </c>
      <c r="G358" s="20">
        <v>0</v>
      </c>
    </row>
    <row r="359" spans="1:7" ht="75" x14ac:dyDescent="0.25">
      <c r="A359" s="79" t="s">
        <v>559</v>
      </c>
      <c r="B359" s="91" t="s">
        <v>256</v>
      </c>
      <c r="C359" s="91" t="s">
        <v>521</v>
      </c>
      <c r="D359" s="92"/>
      <c r="E359" s="59">
        <f>SUM(E360)</f>
        <v>22691.4</v>
      </c>
      <c r="F359" s="59">
        <f>SUM(F360)</f>
        <v>28257.4</v>
      </c>
      <c r="G359" s="59">
        <f>SUM(G360)</f>
        <v>17281.099999999999</v>
      </c>
    </row>
    <row r="360" spans="1:7" x14ac:dyDescent="0.25">
      <c r="A360" s="87" t="s">
        <v>22</v>
      </c>
      <c r="B360" s="91" t="s">
        <v>256</v>
      </c>
      <c r="C360" s="91" t="s">
        <v>521</v>
      </c>
      <c r="D360" s="92">
        <v>800</v>
      </c>
      <c r="E360" s="60">
        <v>22691.4</v>
      </c>
      <c r="F360" s="60">
        <v>28257.4</v>
      </c>
      <c r="G360" s="20">
        <v>17281.099999999999</v>
      </c>
    </row>
    <row r="361" spans="1:7" ht="30" x14ac:dyDescent="0.25">
      <c r="A361" s="66" t="s">
        <v>604</v>
      </c>
      <c r="B361" s="91" t="s">
        <v>256</v>
      </c>
      <c r="C361" s="91" t="s">
        <v>606</v>
      </c>
      <c r="D361" s="92"/>
      <c r="E361" s="60">
        <f>E362</f>
        <v>50000</v>
      </c>
      <c r="F361" s="60">
        <f t="shared" ref="F361:G362" si="80">F362</f>
        <v>0</v>
      </c>
      <c r="G361" s="60">
        <f t="shared" si="80"/>
        <v>0</v>
      </c>
    </row>
    <row r="362" spans="1:7" x14ac:dyDescent="0.25">
      <c r="A362" s="66" t="s">
        <v>605</v>
      </c>
      <c r="B362" s="91" t="s">
        <v>256</v>
      </c>
      <c r="C362" s="91" t="s">
        <v>607</v>
      </c>
      <c r="D362" s="92"/>
      <c r="E362" s="60">
        <f>E363</f>
        <v>50000</v>
      </c>
      <c r="F362" s="60">
        <f t="shared" si="80"/>
        <v>0</v>
      </c>
      <c r="G362" s="60">
        <f t="shared" si="80"/>
        <v>0</v>
      </c>
    </row>
    <row r="363" spans="1:7" ht="30" x14ac:dyDescent="0.25">
      <c r="A363" s="66" t="s">
        <v>21</v>
      </c>
      <c r="B363" s="91" t="s">
        <v>256</v>
      </c>
      <c r="C363" s="91" t="s">
        <v>607</v>
      </c>
      <c r="D363" s="92">
        <v>200</v>
      </c>
      <c r="E363" s="60">
        <f>50000-28542+28542</f>
        <v>50000</v>
      </c>
      <c r="F363" s="60">
        <v>0</v>
      </c>
      <c r="G363" s="20">
        <v>0</v>
      </c>
    </row>
    <row r="364" spans="1:7" ht="45" x14ac:dyDescent="0.25">
      <c r="A364" s="76" t="s">
        <v>528</v>
      </c>
      <c r="B364" s="21" t="s">
        <v>256</v>
      </c>
      <c r="C364" s="21" t="s">
        <v>71</v>
      </c>
      <c r="D364" s="22"/>
      <c r="E364" s="59">
        <f t="shared" ref="E364:G365" si="81">SUM(E365)</f>
        <v>4439.8</v>
      </c>
      <c r="F364" s="59">
        <f t="shared" si="81"/>
        <v>0</v>
      </c>
      <c r="G364" s="59">
        <f t="shared" si="81"/>
        <v>0</v>
      </c>
    </row>
    <row r="365" spans="1:7" ht="30" x14ac:dyDescent="0.25">
      <c r="A365" s="80" t="s">
        <v>72</v>
      </c>
      <c r="B365" s="21" t="s">
        <v>256</v>
      </c>
      <c r="C365" s="81" t="s">
        <v>73</v>
      </c>
      <c r="D365" s="88"/>
      <c r="E365" s="59">
        <f t="shared" si="81"/>
        <v>4439.8</v>
      </c>
      <c r="F365" s="59">
        <f t="shared" si="81"/>
        <v>0</v>
      </c>
      <c r="G365" s="59">
        <f t="shared" si="81"/>
        <v>0</v>
      </c>
    </row>
    <row r="366" spans="1:7" ht="30" x14ac:dyDescent="0.25">
      <c r="A366" s="80" t="s">
        <v>74</v>
      </c>
      <c r="B366" s="21" t="s">
        <v>256</v>
      </c>
      <c r="C366" s="81" t="s">
        <v>75</v>
      </c>
      <c r="D366" s="88"/>
      <c r="E366" s="59">
        <f>E369+E367</f>
        <v>4439.8</v>
      </c>
      <c r="F366" s="59">
        <f t="shared" ref="F366:G366" si="82">F369+F367</f>
        <v>0</v>
      </c>
      <c r="G366" s="59">
        <f t="shared" si="82"/>
        <v>0</v>
      </c>
    </row>
    <row r="367" spans="1:7" ht="60" x14ac:dyDescent="0.25">
      <c r="A367" s="141" t="s">
        <v>615</v>
      </c>
      <c r="B367" s="21" t="s">
        <v>256</v>
      </c>
      <c r="C367" s="21" t="s">
        <v>616</v>
      </c>
      <c r="D367" s="22"/>
      <c r="E367" s="59">
        <f>E368</f>
        <v>90</v>
      </c>
      <c r="F367" s="59">
        <f t="shared" ref="F367:G367" si="83">F368</f>
        <v>0</v>
      </c>
      <c r="G367" s="59">
        <f t="shared" si="83"/>
        <v>0</v>
      </c>
    </row>
    <row r="368" spans="1:7" ht="30" x14ac:dyDescent="0.25">
      <c r="A368" s="66" t="s">
        <v>21</v>
      </c>
      <c r="B368" s="21" t="s">
        <v>256</v>
      </c>
      <c r="C368" s="21" t="s">
        <v>616</v>
      </c>
      <c r="D368" s="22">
        <v>200</v>
      </c>
      <c r="E368" s="59">
        <v>90</v>
      </c>
      <c r="F368" s="59">
        <v>0</v>
      </c>
      <c r="G368" s="59">
        <v>0</v>
      </c>
    </row>
    <row r="369" spans="1:7" ht="45" x14ac:dyDescent="0.25">
      <c r="A369" s="87" t="s">
        <v>504</v>
      </c>
      <c r="B369" s="91" t="s">
        <v>256</v>
      </c>
      <c r="C369" s="91" t="s">
        <v>505</v>
      </c>
      <c r="D369" s="22"/>
      <c r="E369" s="20">
        <f>E370</f>
        <v>4349.8</v>
      </c>
      <c r="F369" s="20">
        <f t="shared" ref="F369:G369" si="84">F370</f>
        <v>0</v>
      </c>
      <c r="G369" s="20">
        <f t="shared" si="84"/>
        <v>0</v>
      </c>
    </row>
    <row r="370" spans="1:7" ht="30" x14ac:dyDescent="0.25">
      <c r="A370" s="66" t="s">
        <v>21</v>
      </c>
      <c r="B370" s="91" t="s">
        <v>256</v>
      </c>
      <c r="C370" s="91" t="s">
        <v>505</v>
      </c>
      <c r="D370" s="22">
        <v>200</v>
      </c>
      <c r="E370" s="60">
        <f>6835-90-2395.2</f>
        <v>4349.8</v>
      </c>
      <c r="F370" s="60">
        <v>0</v>
      </c>
      <c r="G370" s="20">
        <v>0</v>
      </c>
    </row>
    <row r="371" spans="1:7" ht="45" x14ac:dyDescent="0.25">
      <c r="A371" s="82" t="s">
        <v>445</v>
      </c>
      <c r="B371" s="21" t="s">
        <v>256</v>
      </c>
      <c r="C371" s="81" t="s">
        <v>267</v>
      </c>
      <c r="D371" s="88"/>
      <c r="E371" s="59">
        <f>SUM(E372)</f>
        <v>0</v>
      </c>
      <c r="F371" s="59">
        <f>SUM(F372)</f>
        <v>14175.9</v>
      </c>
      <c r="G371" s="59">
        <f>SUM(G372)</f>
        <v>14175.9</v>
      </c>
    </row>
    <row r="372" spans="1:7" x14ac:dyDescent="0.25">
      <c r="A372" s="82" t="s">
        <v>22</v>
      </c>
      <c r="B372" s="21" t="s">
        <v>256</v>
      </c>
      <c r="C372" s="81" t="s">
        <v>267</v>
      </c>
      <c r="D372" s="88">
        <v>800</v>
      </c>
      <c r="E372" s="20">
        <f>14175.9-14175.9</f>
        <v>0</v>
      </c>
      <c r="F372" s="20">
        <v>14175.9</v>
      </c>
      <c r="G372" s="20">
        <v>14175.9</v>
      </c>
    </row>
    <row r="373" spans="1:7" ht="30" x14ac:dyDescent="0.25">
      <c r="A373" s="66" t="s">
        <v>628</v>
      </c>
      <c r="B373" s="81" t="s">
        <v>256</v>
      </c>
      <c r="C373" s="81" t="s">
        <v>438</v>
      </c>
      <c r="D373" s="88"/>
      <c r="E373" s="20">
        <f>E374</f>
        <v>129409.90000000001</v>
      </c>
      <c r="F373" s="20">
        <f t="shared" ref="F373:G373" si="85">F374</f>
        <v>4784.5</v>
      </c>
      <c r="G373" s="20">
        <f t="shared" si="85"/>
        <v>4784.5</v>
      </c>
    </row>
    <row r="374" spans="1:7" ht="30" x14ac:dyDescent="0.25">
      <c r="A374" s="66" t="s">
        <v>629</v>
      </c>
      <c r="B374" s="81" t="s">
        <v>256</v>
      </c>
      <c r="C374" s="91" t="s">
        <v>630</v>
      </c>
      <c r="D374" s="88"/>
      <c r="E374" s="20">
        <f>E375+E377+E379</f>
        <v>129409.90000000001</v>
      </c>
      <c r="F374" s="20">
        <f t="shared" ref="F374:G374" si="86">F375+F377+F379</f>
        <v>4784.5</v>
      </c>
      <c r="G374" s="20">
        <f t="shared" si="86"/>
        <v>4784.5</v>
      </c>
    </row>
    <row r="375" spans="1:7" ht="34.5" customHeight="1" x14ac:dyDescent="0.25">
      <c r="A375" s="66" t="s">
        <v>608</v>
      </c>
      <c r="B375" s="91" t="s">
        <v>256</v>
      </c>
      <c r="C375" s="91" t="s">
        <v>584</v>
      </c>
      <c r="D375" s="92"/>
      <c r="E375" s="60">
        <f>E376</f>
        <v>129409.90000000001</v>
      </c>
      <c r="F375" s="60">
        <f t="shared" ref="F375:G375" si="87">F376</f>
        <v>4784.5</v>
      </c>
      <c r="G375" s="60">
        <f t="shared" si="87"/>
        <v>4784.5</v>
      </c>
    </row>
    <row r="376" spans="1:7" ht="30" x14ac:dyDescent="0.25">
      <c r="A376" s="66" t="s">
        <v>21</v>
      </c>
      <c r="B376" s="91" t="s">
        <v>256</v>
      </c>
      <c r="C376" s="91" t="s">
        <v>585</v>
      </c>
      <c r="D376" s="92">
        <v>200</v>
      </c>
      <c r="E376" s="60">
        <f>4784.5+6980.1+117645.3-92134.6+92134.6</f>
        <v>129409.90000000001</v>
      </c>
      <c r="F376" s="60">
        <v>4784.5</v>
      </c>
      <c r="G376" s="60">
        <v>4784.5</v>
      </c>
    </row>
    <row r="377" spans="1:7" ht="60" hidden="1" x14ac:dyDescent="0.25">
      <c r="A377" s="66" t="s">
        <v>599</v>
      </c>
      <c r="B377" s="91" t="s">
        <v>256</v>
      </c>
      <c r="C377" s="91" t="s">
        <v>600</v>
      </c>
      <c r="D377" s="92"/>
      <c r="E377" s="60">
        <f>E378</f>
        <v>0</v>
      </c>
      <c r="F377" s="60">
        <f t="shared" ref="F377:G377" si="88">F378</f>
        <v>0</v>
      </c>
      <c r="G377" s="60">
        <f t="shared" si="88"/>
        <v>0</v>
      </c>
    </row>
    <row r="378" spans="1:7" hidden="1" x14ac:dyDescent="0.25">
      <c r="A378" s="122" t="s">
        <v>22</v>
      </c>
      <c r="B378" s="15" t="s">
        <v>256</v>
      </c>
      <c r="C378" s="91" t="s">
        <v>600</v>
      </c>
      <c r="D378" s="17">
        <v>800</v>
      </c>
      <c r="E378" s="137">
        <f>92134.6-92134.6</f>
        <v>0</v>
      </c>
      <c r="F378" s="60">
        <v>0</v>
      </c>
      <c r="G378" s="60">
        <v>0</v>
      </c>
    </row>
    <row r="379" spans="1:7" ht="30" hidden="1" x14ac:dyDescent="0.25">
      <c r="A379" s="1" t="s">
        <v>437</v>
      </c>
      <c r="B379" s="81" t="s">
        <v>256</v>
      </c>
      <c r="C379" s="81" t="s">
        <v>439</v>
      </c>
      <c r="D379" s="88"/>
      <c r="E379" s="20">
        <f>E380</f>
        <v>0</v>
      </c>
      <c r="F379" s="20">
        <f t="shared" ref="F379:G379" si="89">F380</f>
        <v>0</v>
      </c>
      <c r="G379" s="20">
        <f t="shared" si="89"/>
        <v>0</v>
      </c>
    </row>
    <row r="380" spans="1:7" ht="30" hidden="1" x14ac:dyDescent="0.25">
      <c r="A380" s="1" t="s">
        <v>21</v>
      </c>
      <c r="B380" s="81" t="s">
        <v>256</v>
      </c>
      <c r="C380" s="81" t="s">
        <v>439</v>
      </c>
      <c r="D380" s="88">
        <v>200</v>
      </c>
      <c r="E380" s="60">
        <f>3270.2+1514.3-4784.5</f>
        <v>0</v>
      </c>
      <c r="F380" s="60">
        <f>4784.5-4784.5</f>
        <v>0</v>
      </c>
      <c r="G380" s="60">
        <f>4784.5-4784.5</f>
        <v>0</v>
      </c>
    </row>
    <row r="381" spans="1:7" x14ac:dyDescent="0.25">
      <c r="A381" s="85" t="s">
        <v>160</v>
      </c>
      <c r="B381" s="24" t="s">
        <v>161</v>
      </c>
      <c r="C381" s="24"/>
      <c r="D381" s="25"/>
      <c r="E381" s="12">
        <f>E387+E394+E382</f>
        <v>103845.49999999999</v>
      </c>
      <c r="F381" s="12">
        <f>F387+F394+F382</f>
        <v>100683.5</v>
      </c>
      <c r="G381" s="12">
        <f t="shared" ref="G381" si="90">G387+G394+G382</f>
        <v>102158.09999999999</v>
      </c>
    </row>
    <row r="382" spans="1:7" ht="30" x14ac:dyDescent="0.25">
      <c r="A382" s="79" t="s">
        <v>525</v>
      </c>
      <c r="B382" s="91" t="s">
        <v>161</v>
      </c>
      <c r="C382" s="91" t="s">
        <v>241</v>
      </c>
      <c r="D382" s="92"/>
      <c r="E382" s="59">
        <f>E383</f>
        <v>2.2000000000000002</v>
      </c>
      <c r="F382" s="59">
        <f t="shared" ref="F382:G385" si="91">F383</f>
        <v>2.9</v>
      </c>
      <c r="G382" s="59">
        <f t="shared" si="91"/>
        <v>2.9</v>
      </c>
    </row>
    <row r="383" spans="1:7" ht="45" x14ac:dyDescent="0.25">
      <c r="A383" s="79" t="s">
        <v>526</v>
      </c>
      <c r="B383" s="91" t="s">
        <v>161</v>
      </c>
      <c r="C383" s="91" t="s">
        <v>401</v>
      </c>
      <c r="D383" s="92"/>
      <c r="E383" s="59">
        <f>E384</f>
        <v>2.2000000000000002</v>
      </c>
      <c r="F383" s="59">
        <f t="shared" si="91"/>
        <v>2.9</v>
      </c>
      <c r="G383" s="59">
        <f t="shared" si="91"/>
        <v>2.9</v>
      </c>
    </row>
    <row r="384" spans="1:7" ht="45" x14ac:dyDescent="0.25">
      <c r="A384" s="79" t="s">
        <v>402</v>
      </c>
      <c r="B384" s="91" t="s">
        <v>161</v>
      </c>
      <c r="C384" s="91" t="s">
        <v>403</v>
      </c>
      <c r="D384" s="92"/>
      <c r="E384" s="59">
        <f>E385</f>
        <v>2.2000000000000002</v>
      </c>
      <c r="F384" s="59">
        <f t="shared" si="91"/>
        <v>2.9</v>
      </c>
      <c r="G384" s="59">
        <f t="shared" si="91"/>
        <v>2.9</v>
      </c>
    </row>
    <row r="385" spans="1:7" ht="105" x14ac:dyDescent="0.25">
      <c r="A385" s="140" t="s">
        <v>621</v>
      </c>
      <c r="B385" s="91" t="s">
        <v>161</v>
      </c>
      <c r="C385" s="91" t="s">
        <v>622</v>
      </c>
      <c r="D385" s="92"/>
      <c r="E385" s="59">
        <f>E386</f>
        <v>2.2000000000000002</v>
      </c>
      <c r="F385" s="59">
        <f t="shared" si="91"/>
        <v>2.9</v>
      </c>
      <c r="G385" s="59">
        <f t="shared" si="91"/>
        <v>2.9</v>
      </c>
    </row>
    <row r="386" spans="1:7" ht="30" x14ac:dyDescent="0.25">
      <c r="A386" s="87" t="s">
        <v>21</v>
      </c>
      <c r="B386" s="91" t="s">
        <v>161</v>
      </c>
      <c r="C386" s="91" t="s">
        <v>622</v>
      </c>
      <c r="D386" s="92">
        <v>200</v>
      </c>
      <c r="E386" s="59">
        <v>2.2000000000000002</v>
      </c>
      <c r="F386" s="59">
        <v>2.9</v>
      </c>
      <c r="G386" s="59">
        <v>2.9</v>
      </c>
    </row>
    <row r="387" spans="1:7" ht="60" x14ac:dyDescent="0.25">
      <c r="A387" s="79" t="s">
        <v>527</v>
      </c>
      <c r="B387" s="15" t="s">
        <v>161</v>
      </c>
      <c r="C387" s="16" t="s">
        <v>98</v>
      </c>
      <c r="D387" s="17"/>
      <c r="E387" s="20">
        <f>SUM(E388)</f>
        <v>37936.400000000001</v>
      </c>
      <c r="F387" s="20">
        <f t="shared" ref="F387:G389" si="92">SUM(F388)</f>
        <v>35002.9</v>
      </c>
      <c r="G387" s="20">
        <f t="shared" si="92"/>
        <v>35601.899999999994</v>
      </c>
    </row>
    <row r="388" spans="1:7" ht="60" x14ac:dyDescent="0.25">
      <c r="A388" s="66" t="s">
        <v>535</v>
      </c>
      <c r="B388" s="15" t="s">
        <v>161</v>
      </c>
      <c r="C388" s="16" t="s">
        <v>268</v>
      </c>
      <c r="D388" s="17"/>
      <c r="E388" s="20">
        <f>SUM(E389)</f>
        <v>37936.400000000001</v>
      </c>
      <c r="F388" s="20">
        <f t="shared" si="92"/>
        <v>35002.9</v>
      </c>
      <c r="G388" s="20">
        <f t="shared" si="92"/>
        <v>35601.899999999994</v>
      </c>
    </row>
    <row r="389" spans="1:7" ht="30" x14ac:dyDescent="0.25">
      <c r="A389" s="1" t="s">
        <v>269</v>
      </c>
      <c r="B389" s="15" t="s">
        <v>161</v>
      </c>
      <c r="C389" s="16" t="s">
        <v>270</v>
      </c>
      <c r="D389" s="17"/>
      <c r="E389" s="20">
        <f>SUM(E390)</f>
        <v>37936.400000000001</v>
      </c>
      <c r="F389" s="20">
        <f t="shared" si="92"/>
        <v>35002.9</v>
      </c>
      <c r="G389" s="20">
        <f t="shared" si="92"/>
        <v>35601.899999999994</v>
      </c>
    </row>
    <row r="390" spans="1:7" ht="30" x14ac:dyDescent="0.25">
      <c r="A390" s="62" t="s">
        <v>42</v>
      </c>
      <c r="B390" s="15" t="s">
        <v>161</v>
      </c>
      <c r="C390" s="16" t="s">
        <v>271</v>
      </c>
      <c r="D390" s="17"/>
      <c r="E390" s="20">
        <f>SUM(E391:E393)</f>
        <v>37936.400000000001</v>
      </c>
      <c r="F390" s="20">
        <f>SUM(F391:F393)</f>
        <v>35002.9</v>
      </c>
      <c r="G390" s="20">
        <f>SUM(G391:G393)</f>
        <v>35601.899999999994</v>
      </c>
    </row>
    <row r="391" spans="1:7" ht="60" x14ac:dyDescent="0.25">
      <c r="A391" s="1" t="s">
        <v>14</v>
      </c>
      <c r="B391" s="15" t="s">
        <v>161</v>
      </c>
      <c r="C391" s="16" t="s">
        <v>271</v>
      </c>
      <c r="D391" s="17">
        <v>100</v>
      </c>
      <c r="E391" s="60">
        <f>32897.1+2933.9+379.5</f>
        <v>36210.5</v>
      </c>
      <c r="F391" s="60">
        <v>33209.599999999999</v>
      </c>
      <c r="G391" s="20">
        <v>34488.699999999997</v>
      </c>
    </row>
    <row r="392" spans="1:7" ht="30" x14ac:dyDescent="0.25">
      <c r="A392" s="1" t="s">
        <v>21</v>
      </c>
      <c r="B392" s="15" t="s">
        <v>161</v>
      </c>
      <c r="C392" s="16" t="s">
        <v>271</v>
      </c>
      <c r="D392" s="17">
        <v>200</v>
      </c>
      <c r="E392" s="60">
        <f>1383.4+300</f>
        <v>1683.4</v>
      </c>
      <c r="F392" s="60">
        <v>1750.8</v>
      </c>
      <c r="G392" s="20">
        <v>1070.7</v>
      </c>
    </row>
    <row r="393" spans="1:7" x14ac:dyDescent="0.25">
      <c r="A393" s="61" t="s">
        <v>22</v>
      </c>
      <c r="B393" s="15" t="s">
        <v>161</v>
      </c>
      <c r="C393" s="16" t="s">
        <v>271</v>
      </c>
      <c r="D393" s="17">
        <v>800</v>
      </c>
      <c r="E393" s="60">
        <v>42.5</v>
      </c>
      <c r="F393" s="60">
        <v>42.5</v>
      </c>
      <c r="G393" s="20">
        <v>42.5</v>
      </c>
    </row>
    <row r="394" spans="1:7" ht="45" x14ac:dyDescent="0.25">
      <c r="A394" s="79" t="s">
        <v>536</v>
      </c>
      <c r="B394" s="21" t="s">
        <v>161</v>
      </c>
      <c r="C394" s="21" t="s">
        <v>105</v>
      </c>
      <c r="D394" s="22"/>
      <c r="E394" s="59">
        <f t="shared" ref="E394:G395" si="93">SUM(E395)</f>
        <v>65906.899999999994</v>
      </c>
      <c r="F394" s="59">
        <f t="shared" si="93"/>
        <v>65677.700000000012</v>
      </c>
      <c r="G394" s="59">
        <f t="shared" si="93"/>
        <v>66553.3</v>
      </c>
    </row>
    <row r="395" spans="1:7" ht="45" x14ac:dyDescent="0.25">
      <c r="A395" s="97" t="s">
        <v>162</v>
      </c>
      <c r="B395" s="21" t="s">
        <v>161</v>
      </c>
      <c r="C395" s="21" t="s">
        <v>163</v>
      </c>
      <c r="D395" s="22"/>
      <c r="E395" s="59">
        <f t="shared" si="93"/>
        <v>65906.899999999994</v>
      </c>
      <c r="F395" s="59">
        <f t="shared" si="93"/>
        <v>65677.700000000012</v>
      </c>
      <c r="G395" s="59">
        <f t="shared" si="93"/>
        <v>66553.3</v>
      </c>
    </row>
    <row r="396" spans="1:7" ht="30" x14ac:dyDescent="0.25">
      <c r="A396" s="23" t="s">
        <v>57</v>
      </c>
      <c r="B396" s="21" t="s">
        <v>161</v>
      </c>
      <c r="C396" s="21" t="s">
        <v>164</v>
      </c>
      <c r="D396" s="22"/>
      <c r="E396" s="59">
        <f>SUM(E397:E399)</f>
        <v>65906.899999999994</v>
      </c>
      <c r="F396" s="59">
        <f>SUM(F397:F399)</f>
        <v>65677.700000000012</v>
      </c>
      <c r="G396" s="59">
        <f>SUM(G397:G399)</f>
        <v>66553.3</v>
      </c>
    </row>
    <row r="397" spans="1:7" ht="60" x14ac:dyDescent="0.25">
      <c r="A397" s="23" t="s">
        <v>14</v>
      </c>
      <c r="B397" s="21" t="s">
        <v>161</v>
      </c>
      <c r="C397" s="21" t="s">
        <v>164</v>
      </c>
      <c r="D397" s="22">
        <v>100</v>
      </c>
      <c r="E397" s="60">
        <v>37816.199999999997</v>
      </c>
      <c r="F397" s="60">
        <v>38175.4</v>
      </c>
      <c r="G397" s="20">
        <v>39645.5</v>
      </c>
    </row>
    <row r="398" spans="1:7" ht="30" x14ac:dyDescent="0.25">
      <c r="A398" s="1" t="s">
        <v>21</v>
      </c>
      <c r="B398" s="21" t="s">
        <v>161</v>
      </c>
      <c r="C398" s="21" t="s">
        <v>164</v>
      </c>
      <c r="D398" s="22">
        <v>200</v>
      </c>
      <c r="E398" s="60">
        <f>1685.8+936.9</f>
        <v>2622.7</v>
      </c>
      <c r="F398" s="60">
        <v>2034.3</v>
      </c>
      <c r="G398" s="20">
        <v>1439.8</v>
      </c>
    </row>
    <row r="399" spans="1:7" x14ac:dyDescent="0.25">
      <c r="A399" s="61" t="s">
        <v>22</v>
      </c>
      <c r="B399" s="21" t="s">
        <v>161</v>
      </c>
      <c r="C399" s="21" t="s">
        <v>164</v>
      </c>
      <c r="D399" s="22">
        <v>800</v>
      </c>
      <c r="E399" s="60">
        <v>25468</v>
      </c>
      <c r="F399" s="60">
        <v>25468</v>
      </c>
      <c r="G399" s="20">
        <v>25468</v>
      </c>
    </row>
    <row r="400" spans="1:7" x14ac:dyDescent="0.25">
      <c r="A400" s="9" t="s">
        <v>165</v>
      </c>
      <c r="B400" s="10" t="s">
        <v>166</v>
      </c>
      <c r="C400" s="14"/>
      <c r="D400" s="11"/>
      <c r="E400" s="101">
        <f>SUM(E401+E426+E488+E511+E466)</f>
        <v>2808076.9000000004</v>
      </c>
      <c r="F400" s="101">
        <f>SUM(F401+F426+F488+F511+F466)</f>
        <v>2708267.9</v>
      </c>
      <c r="G400" s="101">
        <f>SUM(G401+G426+G488+G511+G466)</f>
        <v>2786325.2</v>
      </c>
    </row>
    <row r="401" spans="1:7" x14ac:dyDescent="0.25">
      <c r="A401" s="9" t="s">
        <v>300</v>
      </c>
      <c r="B401" s="10" t="s">
        <v>301</v>
      </c>
      <c r="C401" s="14"/>
      <c r="D401" s="11"/>
      <c r="E401" s="101">
        <f>SUM(E402)</f>
        <v>1159564.5</v>
      </c>
      <c r="F401" s="101">
        <f t="shared" ref="F401:G401" si="94">SUM(F402)</f>
        <v>1156442.7999999998</v>
      </c>
      <c r="G401" s="101">
        <f t="shared" si="94"/>
        <v>1185119.4000000001</v>
      </c>
    </row>
    <row r="402" spans="1:7" ht="30" x14ac:dyDescent="0.25">
      <c r="A402" s="66" t="s">
        <v>537</v>
      </c>
      <c r="B402" s="15" t="s">
        <v>301</v>
      </c>
      <c r="C402" s="16" t="s">
        <v>302</v>
      </c>
      <c r="D402" s="17"/>
      <c r="E402" s="102">
        <f>SUM(E403+E420)</f>
        <v>1159564.5</v>
      </c>
      <c r="F402" s="102">
        <f>SUM(F403+F420)</f>
        <v>1156442.7999999998</v>
      </c>
      <c r="G402" s="102">
        <f>SUM(G403+G420)</f>
        <v>1185119.4000000001</v>
      </c>
    </row>
    <row r="403" spans="1:7" ht="30" x14ac:dyDescent="0.25">
      <c r="A403" s="61" t="s">
        <v>303</v>
      </c>
      <c r="B403" s="15" t="s">
        <v>301</v>
      </c>
      <c r="C403" s="16" t="s">
        <v>304</v>
      </c>
      <c r="D403" s="17"/>
      <c r="E403" s="102">
        <f>SUM(E404)+E409+E418</f>
        <v>1158217.2</v>
      </c>
      <c r="F403" s="102">
        <f>SUM(F404)+F409+F418</f>
        <v>1155162.4999999998</v>
      </c>
      <c r="G403" s="102">
        <f>SUM(G404)+G409+G418</f>
        <v>1183839.1000000001</v>
      </c>
    </row>
    <row r="404" spans="1:7" ht="45" x14ac:dyDescent="0.25">
      <c r="A404" s="61" t="s">
        <v>305</v>
      </c>
      <c r="B404" s="15" t="s">
        <v>301</v>
      </c>
      <c r="C404" s="16" t="s">
        <v>306</v>
      </c>
      <c r="D404" s="17"/>
      <c r="E404" s="102">
        <f>SUM(E405+E407)</f>
        <v>1050769.8999999999</v>
      </c>
      <c r="F404" s="102">
        <f t="shared" ref="F404:G404" si="95">SUM(F405+F407)</f>
        <v>1144710.7999999998</v>
      </c>
      <c r="G404" s="102">
        <f t="shared" si="95"/>
        <v>1183839.1000000001</v>
      </c>
    </row>
    <row r="405" spans="1:7" ht="30" x14ac:dyDescent="0.25">
      <c r="A405" s="61" t="s">
        <v>51</v>
      </c>
      <c r="B405" s="15" t="s">
        <v>301</v>
      </c>
      <c r="C405" s="16" t="s">
        <v>307</v>
      </c>
      <c r="D405" s="17"/>
      <c r="E405" s="102">
        <f>SUM(E406)</f>
        <v>558667.19999999995</v>
      </c>
      <c r="F405" s="102">
        <f t="shared" ref="F405:G405" si="96">SUM(F406)</f>
        <v>618620.69999999995</v>
      </c>
      <c r="G405" s="102">
        <f t="shared" si="96"/>
        <v>623126.4</v>
      </c>
    </row>
    <row r="406" spans="1:7" ht="30" x14ac:dyDescent="0.25">
      <c r="A406" s="1" t="s">
        <v>58</v>
      </c>
      <c r="B406" s="15" t="s">
        <v>301</v>
      </c>
      <c r="C406" s="16" t="s">
        <v>307</v>
      </c>
      <c r="D406" s="17">
        <v>600</v>
      </c>
      <c r="E406" s="20">
        <f>535899.5+2500+1479.4-11.7+150+399.3+1493+10550.2-1090.9+7234.2+64.2</f>
        <v>558667.19999999995</v>
      </c>
      <c r="F406" s="20">
        <v>618620.69999999995</v>
      </c>
      <c r="G406" s="20">
        <v>623126.4</v>
      </c>
    </row>
    <row r="407" spans="1:7" ht="150" x14ac:dyDescent="0.25">
      <c r="A407" s="63" t="s">
        <v>538</v>
      </c>
      <c r="B407" s="15" t="s">
        <v>301</v>
      </c>
      <c r="C407" s="16" t="s">
        <v>423</v>
      </c>
      <c r="D407" s="17"/>
      <c r="E407" s="102">
        <f>E408</f>
        <v>492102.7</v>
      </c>
      <c r="F407" s="102">
        <f t="shared" ref="F407:G407" si="97">F408</f>
        <v>526090.1</v>
      </c>
      <c r="G407" s="102">
        <f t="shared" si="97"/>
        <v>560712.70000000007</v>
      </c>
    </row>
    <row r="408" spans="1:7" ht="30" x14ac:dyDescent="0.25">
      <c r="A408" s="1" t="s">
        <v>58</v>
      </c>
      <c r="B408" s="15" t="s">
        <v>301</v>
      </c>
      <c r="C408" s="16" t="s">
        <v>423</v>
      </c>
      <c r="D408" s="15" t="s">
        <v>308</v>
      </c>
      <c r="E408" s="20">
        <f>433954.3+58148.4</f>
        <v>492102.7</v>
      </c>
      <c r="F408" s="20">
        <f>456196.9+69893.2</f>
        <v>526090.1</v>
      </c>
      <c r="G408" s="20">
        <f>456196.9+104515.8</f>
        <v>560712.70000000007</v>
      </c>
    </row>
    <row r="409" spans="1:7" ht="30" x14ac:dyDescent="0.25">
      <c r="A409" s="66" t="s">
        <v>321</v>
      </c>
      <c r="B409" s="15" t="s">
        <v>301</v>
      </c>
      <c r="C409" s="16" t="s">
        <v>479</v>
      </c>
      <c r="D409" s="15"/>
      <c r="E409" s="20">
        <f>E412+E416+E414+E410</f>
        <v>6647.2999999999993</v>
      </c>
      <c r="F409" s="20">
        <f t="shared" ref="F409:G409" si="98">F412+F416+F414+F410</f>
        <v>10451.700000000001</v>
      </c>
      <c r="G409" s="20">
        <f t="shared" si="98"/>
        <v>0</v>
      </c>
    </row>
    <row r="410" spans="1:7" ht="30" x14ac:dyDescent="0.25">
      <c r="A410" s="134" t="s">
        <v>472</v>
      </c>
      <c r="B410" s="16" t="s">
        <v>301</v>
      </c>
      <c r="C410" s="16" t="s">
        <v>473</v>
      </c>
      <c r="D410" s="16"/>
      <c r="E410" s="20">
        <f>E411</f>
        <v>2168.1</v>
      </c>
      <c r="F410" s="20">
        <f t="shared" ref="F410:G410" si="99">F411</f>
        <v>0</v>
      </c>
      <c r="G410" s="20">
        <f t="shared" si="99"/>
        <v>0</v>
      </c>
    </row>
    <row r="411" spans="1:7" ht="30" x14ac:dyDescent="0.25">
      <c r="A411" s="66" t="s">
        <v>58</v>
      </c>
      <c r="B411" s="16" t="s">
        <v>301</v>
      </c>
      <c r="C411" s="16" t="s">
        <v>473</v>
      </c>
      <c r="D411" s="16" t="s">
        <v>308</v>
      </c>
      <c r="E411" s="20">
        <f>824.5+1000+343.6</f>
        <v>2168.1</v>
      </c>
      <c r="F411" s="20">
        <v>0</v>
      </c>
      <c r="G411" s="20">
        <v>0</v>
      </c>
    </row>
    <row r="412" spans="1:7" ht="45" x14ac:dyDescent="0.25">
      <c r="A412" s="66" t="s">
        <v>524</v>
      </c>
      <c r="B412" s="15" t="s">
        <v>301</v>
      </c>
      <c r="C412" s="16" t="s">
        <v>561</v>
      </c>
      <c r="D412" s="16"/>
      <c r="E412" s="20">
        <f>E413</f>
        <v>2979.2</v>
      </c>
      <c r="F412" s="20">
        <f t="shared" ref="F412:G412" si="100">F413</f>
        <v>10451.700000000001</v>
      </c>
      <c r="G412" s="20">
        <f t="shared" si="100"/>
        <v>0</v>
      </c>
    </row>
    <row r="413" spans="1:7" ht="30" x14ac:dyDescent="0.25">
      <c r="A413" s="26" t="s">
        <v>78</v>
      </c>
      <c r="B413" s="15" t="s">
        <v>301</v>
      </c>
      <c r="C413" s="16" t="s">
        <v>561</v>
      </c>
      <c r="D413" s="16" t="s">
        <v>419</v>
      </c>
      <c r="E413" s="60">
        <f>1900+1079.2</f>
        <v>2979.2</v>
      </c>
      <c r="F413" s="60">
        <f>9900+551.7</f>
        <v>10451.700000000001</v>
      </c>
      <c r="G413" s="60">
        <v>0</v>
      </c>
    </row>
    <row r="414" spans="1:7" ht="64.150000000000006" customHeight="1" x14ac:dyDescent="0.25">
      <c r="A414" s="66" t="s">
        <v>570</v>
      </c>
      <c r="B414" s="15" t="s">
        <v>301</v>
      </c>
      <c r="C414" s="16" t="s">
        <v>571</v>
      </c>
      <c r="D414" s="15"/>
      <c r="E414" s="60">
        <f>E415</f>
        <v>1500</v>
      </c>
      <c r="F414" s="60">
        <f t="shared" ref="F414:G414" si="101">F415</f>
        <v>0</v>
      </c>
      <c r="G414" s="60">
        <f t="shared" si="101"/>
        <v>0</v>
      </c>
    </row>
    <row r="415" spans="1:7" ht="30" x14ac:dyDescent="0.25">
      <c r="A415" s="66" t="s">
        <v>58</v>
      </c>
      <c r="B415" s="15" t="s">
        <v>301</v>
      </c>
      <c r="C415" s="16" t="s">
        <v>571</v>
      </c>
      <c r="D415" s="15" t="s">
        <v>308</v>
      </c>
      <c r="E415" s="60">
        <f>150+1350</f>
        <v>1500</v>
      </c>
      <c r="F415" s="60">
        <v>0</v>
      </c>
      <c r="G415" s="60">
        <v>0</v>
      </c>
    </row>
    <row r="416" spans="1:7" ht="60" hidden="1" x14ac:dyDescent="0.25">
      <c r="A416" s="66" t="s">
        <v>481</v>
      </c>
      <c r="B416" s="15" t="s">
        <v>301</v>
      </c>
      <c r="C416" s="16" t="s">
        <v>480</v>
      </c>
      <c r="D416" s="15"/>
      <c r="E416" s="20">
        <f>E417</f>
        <v>0</v>
      </c>
      <c r="F416" s="20">
        <f t="shared" ref="F416:G416" si="102">F417</f>
        <v>0</v>
      </c>
      <c r="G416" s="20">
        <f t="shared" si="102"/>
        <v>0</v>
      </c>
    </row>
    <row r="417" spans="1:7" ht="30" hidden="1" x14ac:dyDescent="0.25">
      <c r="A417" s="82" t="s">
        <v>78</v>
      </c>
      <c r="B417" s="15" t="s">
        <v>301</v>
      </c>
      <c r="C417" s="16" t="s">
        <v>480</v>
      </c>
      <c r="D417" s="15" t="s">
        <v>419</v>
      </c>
      <c r="E417" s="20">
        <f>378000-378000</f>
        <v>0</v>
      </c>
      <c r="F417" s="20">
        <v>0</v>
      </c>
      <c r="G417" s="20">
        <v>0</v>
      </c>
    </row>
    <row r="418" spans="1:7" ht="60" x14ac:dyDescent="0.25">
      <c r="A418" s="66" t="s">
        <v>481</v>
      </c>
      <c r="B418" s="15" t="s">
        <v>301</v>
      </c>
      <c r="C418" s="16" t="s">
        <v>572</v>
      </c>
      <c r="D418" s="15"/>
      <c r="E418" s="20">
        <f>E419</f>
        <v>100799.99999999999</v>
      </c>
      <c r="F418" s="20">
        <f t="shared" ref="F418:G418" si="103">F419</f>
        <v>0</v>
      </c>
      <c r="G418" s="20">
        <f t="shared" si="103"/>
        <v>0</v>
      </c>
    </row>
    <row r="419" spans="1:7" ht="30" x14ac:dyDescent="0.25">
      <c r="A419" s="134" t="s">
        <v>78</v>
      </c>
      <c r="B419" s="15" t="s">
        <v>301</v>
      </c>
      <c r="C419" s="16" t="s">
        <v>572</v>
      </c>
      <c r="D419" s="15" t="s">
        <v>419</v>
      </c>
      <c r="E419" s="20">
        <f>20293.4+95388.4-14881.8</f>
        <v>100799.99999999999</v>
      </c>
      <c r="F419" s="20">
        <v>0</v>
      </c>
      <c r="G419" s="20">
        <v>0</v>
      </c>
    </row>
    <row r="420" spans="1:7" ht="45" x14ac:dyDescent="0.25">
      <c r="A420" s="103" t="s">
        <v>506</v>
      </c>
      <c r="B420" s="104" t="s">
        <v>301</v>
      </c>
      <c r="C420" s="105" t="s">
        <v>309</v>
      </c>
      <c r="D420" s="104"/>
      <c r="E420" s="106">
        <f>E421</f>
        <v>1347.3</v>
      </c>
      <c r="F420" s="106">
        <f t="shared" ref="F420:G420" si="104">F421</f>
        <v>1280.3</v>
      </c>
      <c r="G420" s="106">
        <f t="shared" si="104"/>
        <v>1280.3</v>
      </c>
    </row>
    <row r="421" spans="1:7" ht="30" x14ac:dyDescent="0.25">
      <c r="A421" s="107" t="s">
        <v>310</v>
      </c>
      <c r="B421" s="104" t="s">
        <v>301</v>
      </c>
      <c r="C421" s="105" t="s">
        <v>311</v>
      </c>
      <c r="D421" s="104"/>
      <c r="E421" s="106">
        <f>E424+E422</f>
        <v>1347.3</v>
      </c>
      <c r="F421" s="106">
        <f t="shared" ref="F421:G421" si="105">F424+F422</f>
        <v>1280.3</v>
      </c>
      <c r="G421" s="106">
        <f t="shared" si="105"/>
        <v>1280.3</v>
      </c>
    </row>
    <row r="422" spans="1:7" ht="30" x14ac:dyDescent="0.25">
      <c r="A422" s="139" t="s">
        <v>325</v>
      </c>
      <c r="B422" s="105" t="s">
        <v>301</v>
      </c>
      <c r="C422" s="105" t="s">
        <v>326</v>
      </c>
      <c r="D422" s="105"/>
      <c r="E422" s="106">
        <f>E423</f>
        <v>88</v>
      </c>
      <c r="F422" s="106">
        <f t="shared" ref="F422:G422" si="106">F423</f>
        <v>0</v>
      </c>
      <c r="G422" s="106">
        <f t="shared" si="106"/>
        <v>0</v>
      </c>
    </row>
    <row r="423" spans="1:7" ht="30" x14ac:dyDescent="0.25">
      <c r="A423" s="66" t="s">
        <v>58</v>
      </c>
      <c r="B423" s="105" t="s">
        <v>301</v>
      </c>
      <c r="C423" s="105" t="s">
        <v>326</v>
      </c>
      <c r="D423" s="105" t="s">
        <v>308</v>
      </c>
      <c r="E423" s="106">
        <v>88</v>
      </c>
      <c r="F423" s="106">
        <v>0</v>
      </c>
      <c r="G423" s="106">
        <v>0</v>
      </c>
    </row>
    <row r="424" spans="1:7" ht="30" x14ac:dyDescent="0.25">
      <c r="A424" s="108" t="s">
        <v>312</v>
      </c>
      <c r="B424" s="104" t="s">
        <v>301</v>
      </c>
      <c r="C424" s="105" t="s">
        <v>313</v>
      </c>
      <c r="D424" s="104"/>
      <c r="E424" s="106">
        <f>E425</f>
        <v>1259.3</v>
      </c>
      <c r="F424" s="106">
        <f t="shared" ref="F424:G424" si="107">F425</f>
        <v>1280.3</v>
      </c>
      <c r="G424" s="106">
        <f t="shared" si="107"/>
        <v>1280.3</v>
      </c>
    </row>
    <row r="425" spans="1:7" ht="30" x14ac:dyDescent="0.25">
      <c r="A425" s="1" t="s">
        <v>58</v>
      </c>
      <c r="B425" s="104" t="s">
        <v>301</v>
      </c>
      <c r="C425" s="105" t="s">
        <v>313</v>
      </c>
      <c r="D425" s="104">
        <v>600</v>
      </c>
      <c r="E425" s="20">
        <f>1280.3-21</f>
        <v>1259.3</v>
      </c>
      <c r="F425" s="20">
        <v>1280.3</v>
      </c>
      <c r="G425" s="20">
        <v>1280.3</v>
      </c>
    </row>
    <row r="426" spans="1:7" x14ac:dyDescent="0.25">
      <c r="A426" s="9" t="s">
        <v>314</v>
      </c>
      <c r="B426" s="14" t="s">
        <v>315</v>
      </c>
      <c r="C426" s="14"/>
      <c r="D426" s="71"/>
      <c r="E426" s="109">
        <f>E427</f>
        <v>1250951.4000000001</v>
      </c>
      <c r="F426" s="109">
        <f t="shared" ref="F426:G426" si="108">F427</f>
        <v>1155117.3000000003</v>
      </c>
      <c r="G426" s="109">
        <f t="shared" si="108"/>
        <v>1201144.3</v>
      </c>
    </row>
    <row r="427" spans="1:7" ht="30" x14ac:dyDescent="0.25">
      <c r="A427" s="66" t="s">
        <v>537</v>
      </c>
      <c r="B427" s="15" t="s">
        <v>315</v>
      </c>
      <c r="C427" s="16" t="s">
        <v>302</v>
      </c>
      <c r="D427" s="17"/>
      <c r="E427" s="102">
        <f>SUM(E428+E459)</f>
        <v>1250951.4000000001</v>
      </c>
      <c r="F427" s="102">
        <f>SUM(F428+F459)</f>
        <v>1155117.3000000003</v>
      </c>
      <c r="G427" s="102">
        <f>SUM(G428+G459)</f>
        <v>1201144.3</v>
      </c>
    </row>
    <row r="428" spans="1:7" ht="30" x14ac:dyDescent="0.25">
      <c r="A428" s="61" t="s">
        <v>303</v>
      </c>
      <c r="B428" s="15" t="s">
        <v>315</v>
      </c>
      <c r="C428" s="16" t="s">
        <v>304</v>
      </c>
      <c r="D428" s="17"/>
      <c r="E428" s="102">
        <f>E431+E446+E457+E429</f>
        <v>1248787.8</v>
      </c>
      <c r="F428" s="102">
        <f t="shared" ref="F428:G428" si="109">F431+F446+F457+F429</f>
        <v>1153053.7000000002</v>
      </c>
      <c r="G428" s="102">
        <f t="shared" si="109"/>
        <v>1199080.7</v>
      </c>
    </row>
    <row r="429" spans="1:7" ht="45" x14ac:dyDescent="0.25">
      <c r="A429" s="66" t="s">
        <v>588</v>
      </c>
      <c r="B429" s="16" t="s">
        <v>315</v>
      </c>
      <c r="C429" s="16" t="s">
        <v>589</v>
      </c>
      <c r="D429" s="16"/>
      <c r="E429" s="102">
        <f>E430</f>
        <v>4632.3</v>
      </c>
      <c r="F429" s="102">
        <f t="shared" ref="F429:G429" si="110">F430</f>
        <v>0</v>
      </c>
      <c r="G429" s="102">
        <f t="shared" si="110"/>
        <v>0</v>
      </c>
    </row>
    <row r="430" spans="1:7" ht="30" x14ac:dyDescent="0.25">
      <c r="A430" s="66" t="s">
        <v>58</v>
      </c>
      <c r="B430" s="16" t="s">
        <v>315</v>
      </c>
      <c r="C430" s="16" t="s">
        <v>589</v>
      </c>
      <c r="D430" s="16" t="s">
        <v>308</v>
      </c>
      <c r="E430" s="102">
        <f>4400.7+231.6</f>
        <v>4632.3</v>
      </c>
      <c r="F430" s="102">
        <v>0</v>
      </c>
      <c r="G430" s="102">
        <v>0</v>
      </c>
    </row>
    <row r="431" spans="1:7" ht="45" x14ac:dyDescent="0.25">
      <c r="A431" s="62" t="s">
        <v>305</v>
      </c>
      <c r="B431" s="15" t="s">
        <v>315</v>
      </c>
      <c r="C431" s="16" t="s">
        <v>306</v>
      </c>
      <c r="D431" s="17"/>
      <c r="E431" s="102">
        <f>E432+E434+E436+E438+E442+E444+E440</f>
        <v>1143945.7999999998</v>
      </c>
      <c r="F431" s="102">
        <f t="shared" ref="F431:G431" si="111">F432+F434+F436+F438+F442+F444+F440</f>
        <v>1152553.7000000002</v>
      </c>
      <c r="G431" s="102">
        <f t="shared" si="111"/>
        <v>1199080.7</v>
      </c>
    </row>
    <row r="432" spans="1:7" ht="30" x14ac:dyDescent="0.25">
      <c r="A432" s="80" t="s">
        <v>316</v>
      </c>
      <c r="B432" s="16" t="s">
        <v>315</v>
      </c>
      <c r="C432" s="81" t="s">
        <v>317</v>
      </c>
      <c r="D432" s="110"/>
      <c r="E432" s="102">
        <f>E433</f>
        <v>9960.2999999999993</v>
      </c>
      <c r="F432" s="102">
        <f t="shared" ref="F432:G432" si="112">F433</f>
        <v>9960.2999999999993</v>
      </c>
      <c r="G432" s="102">
        <f t="shared" si="112"/>
        <v>9960.2999999999993</v>
      </c>
    </row>
    <row r="433" spans="1:7" ht="30" x14ac:dyDescent="0.25">
      <c r="A433" s="1" t="s">
        <v>58</v>
      </c>
      <c r="B433" s="16" t="s">
        <v>315</v>
      </c>
      <c r="C433" s="81" t="s">
        <v>317</v>
      </c>
      <c r="D433" s="111">
        <v>600</v>
      </c>
      <c r="E433" s="20">
        <v>9960.2999999999993</v>
      </c>
      <c r="F433" s="20">
        <v>9960.2999999999993</v>
      </c>
      <c r="G433" s="20">
        <v>9960.2999999999993</v>
      </c>
    </row>
    <row r="434" spans="1:7" ht="30" x14ac:dyDescent="0.25">
      <c r="A434" s="80" t="s">
        <v>430</v>
      </c>
      <c r="B434" s="16" t="s">
        <v>315</v>
      </c>
      <c r="C434" s="81" t="s">
        <v>318</v>
      </c>
      <c r="D434" s="110"/>
      <c r="E434" s="102">
        <f>E435</f>
        <v>480</v>
      </c>
      <c r="F434" s="102">
        <f t="shared" ref="F434:G434" si="113">F435</f>
        <v>480</v>
      </c>
      <c r="G434" s="102">
        <f t="shared" si="113"/>
        <v>480</v>
      </c>
    </row>
    <row r="435" spans="1:7" ht="30" x14ac:dyDescent="0.25">
      <c r="A435" s="1" t="s">
        <v>58</v>
      </c>
      <c r="B435" s="16" t="s">
        <v>315</v>
      </c>
      <c r="C435" s="81" t="s">
        <v>318</v>
      </c>
      <c r="D435" s="111">
        <v>600</v>
      </c>
      <c r="E435" s="20">
        <v>480</v>
      </c>
      <c r="F435" s="20">
        <v>480</v>
      </c>
      <c r="G435" s="20">
        <v>480</v>
      </c>
    </row>
    <row r="436" spans="1:7" ht="30" x14ac:dyDescent="0.25">
      <c r="A436" s="62" t="s">
        <v>51</v>
      </c>
      <c r="B436" s="15" t="s">
        <v>315</v>
      </c>
      <c r="C436" s="16" t="s">
        <v>307</v>
      </c>
      <c r="D436" s="17"/>
      <c r="E436" s="102">
        <f>E437</f>
        <v>337170.19999999995</v>
      </c>
      <c r="F436" s="102">
        <f t="shared" ref="F436:G436" si="114">F437</f>
        <v>298256.8</v>
      </c>
      <c r="G436" s="102">
        <f t="shared" si="114"/>
        <v>296060.5</v>
      </c>
    </row>
    <row r="437" spans="1:7" ht="30" x14ac:dyDescent="0.25">
      <c r="A437" s="1" t="s">
        <v>58</v>
      </c>
      <c r="B437" s="16" t="s">
        <v>315</v>
      </c>
      <c r="C437" s="16" t="s">
        <v>307</v>
      </c>
      <c r="D437" s="65">
        <v>600</v>
      </c>
      <c r="E437" s="20">
        <f>289098.8+54.4+310.1+3256+34429.1+2715.9-64.2+7370.1</f>
        <v>337170.19999999995</v>
      </c>
      <c r="F437" s="20">
        <v>298256.8</v>
      </c>
      <c r="G437" s="20">
        <v>296060.5</v>
      </c>
    </row>
    <row r="438" spans="1:7" ht="45" x14ac:dyDescent="0.25">
      <c r="A438" s="80" t="s">
        <v>319</v>
      </c>
      <c r="B438" s="16" t="s">
        <v>315</v>
      </c>
      <c r="C438" s="21" t="s">
        <v>320</v>
      </c>
      <c r="D438" s="112"/>
      <c r="E438" s="106">
        <f>E439</f>
        <v>10327.5</v>
      </c>
      <c r="F438" s="106">
        <f t="shared" ref="F438:G438" si="115">F439</f>
        <v>10327.5</v>
      </c>
      <c r="G438" s="106">
        <f t="shared" si="115"/>
        <v>10327.5</v>
      </c>
    </row>
    <row r="439" spans="1:7" ht="30" x14ac:dyDescent="0.25">
      <c r="A439" s="1" t="s">
        <v>58</v>
      </c>
      <c r="B439" s="16" t="s">
        <v>315</v>
      </c>
      <c r="C439" s="21" t="s">
        <v>320</v>
      </c>
      <c r="D439" s="64">
        <v>600</v>
      </c>
      <c r="E439" s="20">
        <v>10327.5</v>
      </c>
      <c r="F439" s="20">
        <v>10327.5</v>
      </c>
      <c r="G439" s="20">
        <v>10327.5</v>
      </c>
    </row>
    <row r="440" spans="1:7" ht="45" x14ac:dyDescent="0.25">
      <c r="A440" s="66" t="s">
        <v>470</v>
      </c>
      <c r="B440" s="16" t="s">
        <v>315</v>
      </c>
      <c r="C440" s="91" t="s">
        <v>471</v>
      </c>
      <c r="D440" s="113"/>
      <c r="E440" s="20">
        <f>E441</f>
        <v>4069.8999999999996</v>
      </c>
      <c r="F440" s="20">
        <f t="shared" ref="F440:G440" si="116">F441</f>
        <v>1587.6</v>
      </c>
      <c r="G440" s="20">
        <f t="shared" si="116"/>
        <v>1872</v>
      </c>
    </row>
    <row r="441" spans="1:7" ht="30" x14ac:dyDescent="0.25">
      <c r="A441" s="66" t="s">
        <v>58</v>
      </c>
      <c r="B441" s="16" t="s">
        <v>315</v>
      </c>
      <c r="C441" s="91" t="s">
        <v>471</v>
      </c>
      <c r="D441" s="113">
        <v>600</v>
      </c>
      <c r="E441" s="20">
        <f>732.8+3337.1</f>
        <v>4069.8999999999996</v>
      </c>
      <c r="F441" s="20">
        <f>732.8+854.8</f>
        <v>1587.6</v>
      </c>
      <c r="G441" s="20">
        <f>732.8+1139.2</f>
        <v>1872</v>
      </c>
    </row>
    <row r="442" spans="1:7" ht="150" x14ac:dyDescent="0.25">
      <c r="A442" s="66" t="s">
        <v>539</v>
      </c>
      <c r="B442" s="15" t="s">
        <v>315</v>
      </c>
      <c r="C442" s="16" t="s">
        <v>424</v>
      </c>
      <c r="D442" s="16"/>
      <c r="E442" s="102">
        <f>E443</f>
        <v>781937.89999999991</v>
      </c>
      <c r="F442" s="102">
        <f t="shared" ref="F442:G442" si="117">F443</f>
        <v>831941.5</v>
      </c>
      <c r="G442" s="102">
        <f t="shared" si="117"/>
        <v>880380.4</v>
      </c>
    </row>
    <row r="443" spans="1:7" ht="30" x14ac:dyDescent="0.25">
      <c r="A443" s="1" t="s">
        <v>58</v>
      </c>
      <c r="B443" s="16" t="s">
        <v>315</v>
      </c>
      <c r="C443" s="16" t="s">
        <v>424</v>
      </c>
      <c r="D443" s="16" t="s">
        <v>308</v>
      </c>
      <c r="E443" s="20">
        <f>697708.7+84229.2</f>
        <v>781937.89999999991</v>
      </c>
      <c r="F443" s="20">
        <f>717136.3+114805.2</f>
        <v>831941.5</v>
      </c>
      <c r="G443" s="20">
        <f>717136.3+163244.1</f>
        <v>880380.4</v>
      </c>
    </row>
    <row r="444" spans="1:7" ht="75" hidden="1" x14ac:dyDescent="0.25">
      <c r="A444" s="66" t="s">
        <v>477</v>
      </c>
      <c r="B444" s="16" t="s">
        <v>315</v>
      </c>
      <c r="C444" s="91" t="s">
        <v>468</v>
      </c>
      <c r="D444" s="113"/>
      <c r="E444" s="20">
        <f>E445</f>
        <v>0</v>
      </c>
      <c r="F444" s="20">
        <f t="shared" ref="F444:G444" si="118">F445</f>
        <v>0</v>
      </c>
      <c r="G444" s="20">
        <f t="shared" si="118"/>
        <v>0</v>
      </c>
    </row>
    <row r="445" spans="1:7" ht="30" hidden="1" x14ac:dyDescent="0.25">
      <c r="A445" s="66" t="s">
        <v>58</v>
      </c>
      <c r="B445" s="16" t="s">
        <v>315</v>
      </c>
      <c r="C445" s="91" t="s">
        <v>468</v>
      </c>
      <c r="D445" s="113">
        <v>600</v>
      </c>
      <c r="E445" s="20">
        <f>4027.5-4027.5</f>
        <v>0</v>
      </c>
      <c r="F445" s="20">
        <v>0</v>
      </c>
      <c r="G445" s="20">
        <v>0</v>
      </c>
    </row>
    <row r="446" spans="1:7" ht="30" x14ac:dyDescent="0.25">
      <c r="A446" s="1" t="s">
        <v>321</v>
      </c>
      <c r="B446" s="16" t="s">
        <v>315</v>
      </c>
      <c r="C446" s="16" t="s">
        <v>322</v>
      </c>
      <c r="D446" s="16"/>
      <c r="E446" s="106">
        <f>E451+E455+E447+E453+E449</f>
        <v>17696.599999999999</v>
      </c>
      <c r="F446" s="106">
        <f t="shared" ref="F446:G446" si="119">F451+F455+F447+F453+F449</f>
        <v>500</v>
      </c>
      <c r="G446" s="106">
        <f t="shared" si="119"/>
        <v>0</v>
      </c>
    </row>
    <row r="447" spans="1:7" ht="30" x14ac:dyDescent="0.25">
      <c r="A447" s="114" t="s">
        <v>472</v>
      </c>
      <c r="B447" s="16" t="s">
        <v>315</v>
      </c>
      <c r="C447" s="16" t="s">
        <v>473</v>
      </c>
      <c r="D447" s="16"/>
      <c r="E447" s="106">
        <f>E448</f>
        <v>13090.3</v>
      </c>
      <c r="F447" s="106">
        <f t="shared" ref="F447:G447" si="120">F448</f>
        <v>0</v>
      </c>
      <c r="G447" s="106">
        <f t="shared" si="120"/>
        <v>0</v>
      </c>
    </row>
    <row r="448" spans="1:7" ht="30" x14ac:dyDescent="0.25">
      <c r="A448" s="66" t="s">
        <v>58</v>
      </c>
      <c r="B448" s="16" t="s">
        <v>315</v>
      </c>
      <c r="C448" s="16" t="s">
        <v>473</v>
      </c>
      <c r="D448" s="16" t="s">
        <v>308</v>
      </c>
      <c r="E448" s="20">
        <f>5952.8+611.1+6420.1+106.3</f>
        <v>13090.3</v>
      </c>
      <c r="F448" s="20">
        <v>0</v>
      </c>
      <c r="G448" s="20">
        <v>0</v>
      </c>
    </row>
    <row r="449" spans="1:7" x14ac:dyDescent="0.25">
      <c r="A449" s="66" t="s">
        <v>619</v>
      </c>
      <c r="B449" s="16" t="s">
        <v>315</v>
      </c>
      <c r="C449" s="16" t="s">
        <v>620</v>
      </c>
      <c r="D449" s="16"/>
      <c r="E449" s="20">
        <f>E450</f>
        <v>3936.7</v>
      </c>
      <c r="F449" s="20">
        <f t="shared" ref="F449:G449" si="121">F450</f>
        <v>0</v>
      </c>
      <c r="G449" s="20">
        <f t="shared" si="121"/>
        <v>0</v>
      </c>
    </row>
    <row r="450" spans="1:7" ht="30" x14ac:dyDescent="0.25">
      <c r="A450" s="66" t="s">
        <v>58</v>
      </c>
      <c r="B450" s="16" t="s">
        <v>315</v>
      </c>
      <c r="C450" s="16" t="s">
        <v>620</v>
      </c>
      <c r="D450" s="16" t="s">
        <v>308</v>
      </c>
      <c r="E450" s="20">
        <f>393.7+3543</f>
        <v>3936.7</v>
      </c>
      <c r="F450" s="20">
        <v>0</v>
      </c>
      <c r="G450" s="20">
        <v>0</v>
      </c>
    </row>
    <row r="451" spans="1:7" x14ac:dyDescent="0.25">
      <c r="A451" s="107" t="s">
        <v>323</v>
      </c>
      <c r="B451" s="16" t="s">
        <v>315</v>
      </c>
      <c r="C451" s="115" t="s">
        <v>324</v>
      </c>
      <c r="D451" s="65"/>
      <c r="E451" s="106">
        <f>E452</f>
        <v>169.59999999999854</v>
      </c>
      <c r="F451" s="106">
        <f t="shared" ref="F451:G451" si="122">F452</f>
        <v>0</v>
      </c>
      <c r="G451" s="106">
        <f t="shared" si="122"/>
        <v>0</v>
      </c>
    </row>
    <row r="452" spans="1:7" ht="30" x14ac:dyDescent="0.25">
      <c r="A452" s="107" t="s">
        <v>78</v>
      </c>
      <c r="B452" s="16" t="s">
        <v>315</v>
      </c>
      <c r="C452" s="115" t="s">
        <v>324</v>
      </c>
      <c r="D452" s="65">
        <v>400</v>
      </c>
      <c r="E452" s="20">
        <f>32000-31830.4</f>
        <v>169.59999999999854</v>
      </c>
      <c r="F452" s="20">
        <v>0</v>
      </c>
      <c r="G452" s="20">
        <v>0</v>
      </c>
    </row>
    <row r="453" spans="1:7" ht="30" x14ac:dyDescent="0.25">
      <c r="A453" s="61" t="s">
        <v>560</v>
      </c>
      <c r="B453" s="15" t="s">
        <v>315</v>
      </c>
      <c r="C453" s="16" t="s">
        <v>467</v>
      </c>
      <c r="D453" s="17"/>
      <c r="E453" s="60">
        <f>SUM(E454)</f>
        <v>500</v>
      </c>
      <c r="F453" s="60">
        <f t="shared" ref="F453:G453" si="123">SUM(F454)</f>
        <v>500</v>
      </c>
      <c r="G453" s="60">
        <f t="shared" si="123"/>
        <v>0</v>
      </c>
    </row>
    <row r="454" spans="1:7" ht="30" x14ac:dyDescent="0.25">
      <c r="A454" s="82" t="s">
        <v>78</v>
      </c>
      <c r="B454" s="15" t="s">
        <v>315</v>
      </c>
      <c r="C454" s="16" t="s">
        <v>467</v>
      </c>
      <c r="D454" s="17">
        <v>400</v>
      </c>
      <c r="E454" s="60">
        <v>500</v>
      </c>
      <c r="F454" s="60">
        <v>500</v>
      </c>
      <c r="G454" s="20">
        <v>0</v>
      </c>
    </row>
    <row r="455" spans="1:7" x14ac:dyDescent="0.25">
      <c r="A455" s="116" t="s">
        <v>474</v>
      </c>
      <c r="B455" s="16" t="s">
        <v>315</v>
      </c>
      <c r="C455" s="115" t="s">
        <v>545</v>
      </c>
      <c r="D455" s="65"/>
      <c r="E455" s="20">
        <f>E456</f>
        <v>0</v>
      </c>
      <c r="F455" s="20">
        <f t="shared" ref="F455:G455" si="124">F456</f>
        <v>0</v>
      </c>
      <c r="G455" s="20">
        <f t="shared" si="124"/>
        <v>0</v>
      </c>
    </row>
    <row r="456" spans="1:7" ht="30" x14ac:dyDescent="0.25">
      <c r="A456" s="116" t="s">
        <v>78</v>
      </c>
      <c r="B456" s="16" t="s">
        <v>315</v>
      </c>
      <c r="C456" s="115" t="s">
        <v>545</v>
      </c>
      <c r="D456" s="65">
        <v>400</v>
      </c>
      <c r="E456" s="20">
        <f>82937.4-82937.4</f>
        <v>0</v>
      </c>
      <c r="F456" s="20">
        <v>0</v>
      </c>
      <c r="G456" s="20">
        <v>0</v>
      </c>
    </row>
    <row r="457" spans="1:7" x14ac:dyDescent="0.25">
      <c r="A457" s="116" t="s">
        <v>474</v>
      </c>
      <c r="B457" s="16" t="s">
        <v>315</v>
      </c>
      <c r="C457" s="115" t="s">
        <v>573</v>
      </c>
      <c r="D457" s="65"/>
      <c r="E457" s="20">
        <f>E458</f>
        <v>82513.099999999991</v>
      </c>
      <c r="F457" s="20">
        <f t="shared" ref="F457:G457" si="125">F458</f>
        <v>0</v>
      </c>
      <c r="G457" s="20">
        <f t="shared" si="125"/>
        <v>0</v>
      </c>
    </row>
    <row r="458" spans="1:7" ht="30" x14ac:dyDescent="0.25">
      <c r="A458" s="116" t="s">
        <v>78</v>
      </c>
      <c r="B458" s="16" t="s">
        <v>315</v>
      </c>
      <c r="C458" s="115" t="s">
        <v>573</v>
      </c>
      <c r="D458" s="65">
        <v>400</v>
      </c>
      <c r="E458" s="20">
        <f>82744.7-231.6</f>
        <v>82513.099999999991</v>
      </c>
      <c r="F458" s="20">
        <v>0</v>
      </c>
      <c r="G458" s="20">
        <v>0</v>
      </c>
    </row>
    <row r="459" spans="1:7" ht="45" x14ac:dyDescent="0.25">
      <c r="A459" s="117" t="s">
        <v>506</v>
      </c>
      <c r="B459" s="21" t="s">
        <v>315</v>
      </c>
      <c r="C459" s="21" t="s">
        <v>309</v>
      </c>
      <c r="D459" s="64"/>
      <c r="E459" s="118">
        <f>E460</f>
        <v>2163.6</v>
      </c>
      <c r="F459" s="118">
        <f>F460</f>
        <v>2063.6</v>
      </c>
      <c r="G459" s="118">
        <f t="shared" ref="G459" si="126">G460</f>
        <v>2063.6</v>
      </c>
    </row>
    <row r="460" spans="1:7" ht="30" x14ac:dyDescent="0.25">
      <c r="A460" s="99" t="s">
        <v>310</v>
      </c>
      <c r="B460" s="21" t="s">
        <v>315</v>
      </c>
      <c r="C460" s="21" t="s">
        <v>311</v>
      </c>
      <c r="D460" s="64"/>
      <c r="E460" s="118">
        <f>E464+E461</f>
        <v>2163.6</v>
      </c>
      <c r="F460" s="118">
        <f>F464+F461</f>
        <v>2063.6</v>
      </c>
      <c r="G460" s="118">
        <f>G464+G461</f>
        <v>2063.6</v>
      </c>
    </row>
    <row r="461" spans="1:7" ht="30" x14ac:dyDescent="0.25">
      <c r="A461" s="99" t="s">
        <v>325</v>
      </c>
      <c r="B461" s="21" t="s">
        <v>315</v>
      </c>
      <c r="C461" s="21" t="s">
        <v>326</v>
      </c>
      <c r="D461" s="64"/>
      <c r="E461" s="118">
        <f>E463+E462</f>
        <v>425.5</v>
      </c>
      <c r="F461" s="118">
        <f t="shared" ref="F461:G461" si="127">F463+F462</f>
        <v>325.5</v>
      </c>
      <c r="G461" s="118">
        <f t="shared" si="127"/>
        <v>325.5</v>
      </c>
    </row>
    <row r="462" spans="1:7" x14ac:dyDescent="0.25">
      <c r="A462" s="1" t="s">
        <v>29</v>
      </c>
      <c r="B462" s="21" t="s">
        <v>315</v>
      </c>
      <c r="C462" s="21" t="s">
        <v>326</v>
      </c>
      <c r="D462" s="64">
        <v>300</v>
      </c>
      <c r="E462" s="118">
        <v>3</v>
      </c>
      <c r="F462" s="118">
        <v>0</v>
      </c>
      <c r="G462" s="118">
        <v>0</v>
      </c>
    </row>
    <row r="463" spans="1:7" ht="30" x14ac:dyDescent="0.25">
      <c r="A463" s="1" t="s">
        <v>58</v>
      </c>
      <c r="B463" s="21" t="s">
        <v>315</v>
      </c>
      <c r="C463" s="21" t="s">
        <v>326</v>
      </c>
      <c r="D463" s="64">
        <v>600</v>
      </c>
      <c r="E463" s="20">
        <f>325.5+97</f>
        <v>422.5</v>
      </c>
      <c r="F463" s="20">
        <v>325.5</v>
      </c>
      <c r="G463" s="20">
        <v>325.5</v>
      </c>
    </row>
    <row r="464" spans="1:7" ht="30" x14ac:dyDescent="0.25">
      <c r="A464" s="97" t="s">
        <v>312</v>
      </c>
      <c r="B464" s="21" t="s">
        <v>315</v>
      </c>
      <c r="C464" s="21" t="s">
        <v>313</v>
      </c>
      <c r="D464" s="64"/>
      <c r="E464" s="118">
        <f>E465</f>
        <v>1738.1</v>
      </c>
      <c r="F464" s="118">
        <f t="shared" ref="F464:G464" si="128">F465</f>
        <v>1738.1</v>
      </c>
      <c r="G464" s="118">
        <f t="shared" si="128"/>
        <v>1738.1</v>
      </c>
    </row>
    <row r="465" spans="1:7" ht="30" x14ac:dyDescent="0.25">
      <c r="A465" s="1" t="s">
        <v>58</v>
      </c>
      <c r="B465" s="21" t="s">
        <v>315</v>
      </c>
      <c r="C465" s="21" t="s">
        <v>313</v>
      </c>
      <c r="D465" s="64">
        <v>600</v>
      </c>
      <c r="E465" s="20">
        <v>1738.1</v>
      </c>
      <c r="F465" s="20">
        <v>1738.1</v>
      </c>
      <c r="G465" s="20">
        <v>1738.1</v>
      </c>
    </row>
    <row r="466" spans="1:7" x14ac:dyDescent="0.25">
      <c r="A466" s="9" t="s">
        <v>327</v>
      </c>
      <c r="B466" s="119" t="s">
        <v>328</v>
      </c>
      <c r="C466" s="119"/>
      <c r="D466" s="120"/>
      <c r="E466" s="55">
        <f>SUM(E467+E483)</f>
        <v>287956.5</v>
      </c>
      <c r="F466" s="55">
        <f>SUM(F467+F483)</f>
        <v>288335.3</v>
      </c>
      <c r="G466" s="55">
        <f>SUM(G467+G483)</f>
        <v>298956.09999999998</v>
      </c>
    </row>
    <row r="467" spans="1:7" ht="30" x14ac:dyDescent="0.25">
      <c r="A467" s="66" t="s">
        <v>537</v>
      </c>
      <c r="B467" s="15" t="s">
        <v>328</v>
      </c>
      <c r="C467" s="16" t="s">
        <v>302</v>
      </c>
      <c r="D467" s="111"/>
      <c r="E467" s="20">
        <f>SUM(E468+E477)</f>
        <v>204402.7</v>
      </c>
      <c r="F467" s="20">
        <f>SUM(F468+F477)</f>
        <v>201981.4</v>
      </c>
      <c r="G467" s="20">
        <f>SUM(G468+G477)</f>
        <v>209532.5</v>
      </c>
    </row>
    <row r="468" spans="1:7" ht="30" x14ac:dyDescent="0.25">
      <c r="A468" s="61" t="s">
        <v>303</v>
      </c>
      <c r="B468" s="15" t="s">
        <v>328</v>
      </c>
      <c r="C468" s="16" t="s">
        <v>304</v>
      </c>
      <c r="D468" s="111"/>
      <c r="E468" s="20">
        <f>SUM(E469)+E472</f>
        <v>204312.7</v>
      </c>
      <c r="F468" s="20">
        <f t="shared" ref="F468:G468" si="129">SUM(F469)+F472</f>
        <v>201945.4</v>
      </c>
      <c r="G468" s="20">
        <f t="shared" si="129"/>
        <v>209496.5</v>
      </c>
    </row>
    <row r="469" spans="1:7" ht="45" x14ac:dyDescent="0.25">
      <c r="A469" s="62" t="s">
        <v>305</v>
      </c>
      <c r="B469" s="15" t="s">
        <v>328</v>
      </c>
      <c r="C469" s="16" t="s">
        <v>306</v>
      </c>
      <c r="D469" s="111"/>
      <c r="E469" s="20">
        <f>SUM(E470)</f>
        <v>195089.5</v>
      </c>
      <c r="F469" s="20">
        <f t="shared" ref="F469:G469" si="130">SUM(F470)</f>
        <v>201945.4</v>
      </c>
      <c r="G469" s="20">
        <f t="shared" si="130"/>
        <v>209496.5</v>
      </c>
    </row>
    <row r="470" spans="1:7" ht="30" x14ac:dyDescent="0.25">
      <c r="A470" s="62" t="s">
        <v>51</v>
      </c>
      <c r="B470" s="15" t="s">
        <v>328</v>
      </c>
      <c r="C470" s="16" t="s">
        <v>307</v>
      </c>
      <c r="D470" s="17"/>
      <c r="E470" s="20">
        <f>E471</f>
        <v>195089.5</v>
      </c>
      <c r="F470" s="20">
        <f t="shared" ref="F470:G470" si="131">F471</f>
        <v>201945.4</v>
      </c>
      <c r="G470" s="20">
        <f t="shared" si="131"/>
        <v>209496.5</v>
      </c>
    </row>
    <row r="471" spans="1:7" ht="30" x14ac:dyDescent="0.25">
      <c r="A471" s="1" t="s">
        <v>58</v>
      </c>
      <c r="B471" s="15" t="s">
        <v>328</v>
      </c>
      <c r="C471" s="16" t="s">
        <v>307</v>
      </c>
      <c r="D471" s="65">
        <v>600</v>
      </c>
      <c r="E471" s="20">
        <f>191836.4+644.4+6150.2+1565.2-6150.2+476.6+566.9</f>
        <v>195089.5</v>
      </c>
      <c r="F471" s="20">
        <v>201945.4</v>
      </c>
      <c r="G471" s="20">
        <v>209496.5</v>
      </c>
    </row>
    <row r="472" spans="1:7" ht="30" x14ac:dyDescent="0.25">
      <c r="A472" s="66" t="s">
        <v>321</v>
      </c>
      <c r="B472" s="15" t="s">
        <v>328</v>
      </c>
      <c r="C472" s="16" t="s">
        <v>322</v>
      </c>
      <c r="D472" s="16"/>
      <c r="E472" s="20">
        <f>E473+E475</f>
        <v>9223.2000000000007</v>
      </c>
      <c r="F472" s="20">
        <f>F473+F475</f>
        <v>0</v>
      </c>
      <c r="G472" s="20">
        <f>G473+G475</f>
        <v>0</v>
      </c>
    </row>
    <row r="473" spans="1:7" ht="30" x14ac:dyDescent="0.25">
      <c r="A473" s="82" t="s">
        <v>472</v>
      </c>
      <c r="B473" s="15" t="s">
        <v>328</v>
      </c>
      <c r="C473" s="16" t="s">
        <v>473</v>
      </c>
      <c r="D473" s="16"/>
      <c r="E473" s="20">
        <f>E474</f>
        <v>7950.2</v>
      </c>
      <c r="F473" s="20">
        <f t="shared" ref="F473:G473" si="132">F474</f>
        <v>0</v>
      </c>
      <c r="G473" s="20">
        <f t="shared" si="132"/>
        <v>0</v>
      </c>
    </row>
    <row r="474" spans="1:7" ht="30" x14ac:dyDescent="0.25">
      <c r="A474" s="66" t="s">
        <v>58</v>
      </c>
      <c r="B474" s="15" t="s">
        <v>328</v>
      </c>
      <c r="C474" s="16" t="s">
        <v>473</v>
      </c>
      <c r="D474" s="16" t="s">
        <v>308</v>
      </c>
      <c r="E474" s="20">
        <f>1800+6150.2</f>
        <v>7950.2</v>
      </c>
      <c r="F474" s="20">
        <v>0</v>
      </c>
      <c r="G474" s="20">
        <v>0</v>
      </c>
    </row>
    <row r="475" spans="1:7" ht="60" x14ac:dyDescent="0.25">
      <c r="A475" s="66" t="s">
        <v>570</v>
      </c>
      <c r="B475" s="15" t="s">
        <v>328</v>
      </c>
      <c r="C475" s="16" t="s">
        <v>571</v>
      </c>
      <c r="D475" s="15"/>
      <c r="E475" s="20">
        <f>E476</f>
        <v>1273</v>
      </c>
      <c r="F475" s="20">
        <f t="shared" ref="F475:G475" si="133">F476</f>
        <v>0</v>
      </c>
      <c r="G475" s="20">
        <f t="shared" si="133"/>
        <v>0</v>
      </c>
    </row>
    <row r="476" spans="1:7" ht="30" x14ac:dyDescent="0.25">
      <c r="A476" s="66" t="s">
        <v>58</v>
      </c>
      <c r="B476" s="15" t="s">
        <v>328</v>
      </c>
      <c r="C476" s="16" t="s">
        <v>571</v>
      </c>
      <c r="D476" s="15" t="s">
        <v>308</v>
      </c>
      <c r="E476" s="20">
        <f>127.3+1145.7</f>
        <v>1273</v>
      </c>
      <c r="F476" s="20">
        <v>0</v>
      </c>
      <c r="G476" s="20">
        <v>0</v>
      </c>
    </row>
    <row r="477" spans="1:7" ht="45" x14ac:dyDescent="0.25">
      <c r="A477" s="117" t="s">
        <v>506</v>
      </c>
      <c r="B477" s="15" t="s">
        <v>328</v>
      </c>
      <c r="C477" s="81" t="s">
        <v>309</v>
      </c>
      <c r="D477" s="111"/>
      <c r="E477" s="20">
        <f>E478</f>
        <v>90</v>
      </c>
      <c r="F477" s="20">
        <f t="shared" ref="F477:G477" si="134">F478</f>
        <v>36</v>
      </c>
      <c r="G477" s="20">
        <f t="shared" si="134"/>
        <v>36</v>
      </c>
    </row>
    <row r="478" spans="1:7" ht="30" x14ac:dyDescent="0.25">
      <c r="A478" s="121" t="s">
        <v>310</v>
      </c>
      <c r="B478" s="15" t="s">
        <v>328</v>
      </c>
      <c r="C478" s="81" t="s">
        <v>311</v>
      </c>
      <c r="D478" s="111"/>
      <c r="E478" s="20">
        <f>E481+E479</f>
        <v>90</v>
      </c>
      <c r="F478" s="20">
        <f t="shared" ref="F478:G478" si="135">F481+F479</f>
        <v>36</v>
      </c>
      <c r="G478" s="20">
        <f t="shared" si="135"/>
        <v>36</v>
      </c>
    </row>
    <row r="479" spans="1:7" ht="30" x14ac:dyDescent="0.25">
      <c r="A479" s="139" t="s">
        <v>325</v>
      </c>
      <c r="B479" s="105" t="s">
        <v>328</v>
      </c>
      <c r="C479" s="105" t="s">
        <v>326</v>
      </c>
      <c r="D479" s="105"/>
      <c r="E479" s="20">
        <f>E480</f>
        <v>33</v>
      </c>
      <c r="F479" s="20">
        <f t="shared" ref="F479:G479" si="136">F480</f>
        <v>0</v>
      </c>
      <c r="G479" s="20">
        <f t="shared" si="136"/>
        <v>0</v>
      </c>
    </row>
    <row r="480" spans="1:7" ht="30" x14ac:dyDescent="0.25">
      <c r="A480" s="66" t="s">
        <v>58</v>
      </c>
      <c r="B480" s="105" t="s">
        <v>328</v>
      </c>
      <c r="C480" s="105" t="s">
        <v>326</v>
      </c>
      <c r="D480" s="105" t="s">
        <v>308</v>
      </c>
      <c r="E480" s="20">
        <v>33</v>
      </c>
      <c r="F480" s="20">
        <v>0</v>
      </c>
      <c r="G480" s="20">
        <v>0</v>
      </c>
    </row>
    <row r="481" spans="1:7" ht="30" x14ac:dyDescent="0.25">
      <c r="A481" s="80" t="s">
        <v>312</v>
      </c>
      <c r="B481" s="15" t="s">
        <v>328</v>
      </c>
      <c r="C481" s="81" t="s">
        <v>313</v>
      </c>
      <c r="D481" s="111"/>
      <c r="E481" s="20">
        <f>E482</f>
        <v>57</v>
      </c>
      <c r="F481" s="20">
        <f t="shared" ref="F481:G481" si="137">F482</f>
        <v>36</v>
      </c>
      <c r="G481" s="20">
        <f t="shared" si="137"/>
        <v>36</v>
      </c>
    </row>
    <row r="482" spans="1:7" ht="30" x14ac:dyDescent="0.25">
      <c r="A482" s="1" t="s">
        <v>58</v>
      </c>
      <c r="B482" s="15" t="s">
        <v>328</v>
      </c>
      <c r="C482" s="81" t="s">
        <v>313</v>
      </c>
      <c r="D482" s="111">
        <v>600</v>
      </c>
      <c r="E482" s="20">
        <f>36+21</f>
        <v>57</v>
      </c>
      <c r="F482" s="20">
        <v>36</v>
      </c>
      <c r="G482" s="20">
        <v>36</v>
      </c>
    </row>
    <row r="483" spans="1:7" ht="30" x14ac:dyDescent="0.25">
      <c r="A483" s="122" t="s">
        <v>540</v>
      </c>
      <c r="B483" s="15" t="s">
        <v>328</v>
      </c>
      <c r="C483" s="123" t="s">
        <v>353</v>
      </c>
      <c r="D483" s="16"/>
      <c r="E483" s="20">
        <f>SUM(E484)</f>
        <v>83553.799999999988</v>
      </c>
      <c r="F483" s="20">
        <f t="shared" ref="F483:G483" si="138">SUM(F484)</f>
        <v>86353.9</v>
      </c>
      <c r="G483" s="20">
        <f t="shared" si="138"/>
        <v>89423.6</v>
      </c>
    </row>
    <row r="484" spans="1:7" x14ac:dyDescent="0.25">
      <c r="A484" s="1" t="s">
        <v>354</v>
      </c>
      <c r="B484" s="15" t="s">
        <v>328</v>
      </c>
      <c r="C484" s="16" t="s">
        <v>355</v>
      </c>
      <c r="D484" s="16"/>
      <c r="E484" s="20">
        <f>E485</f>
        <v>83553.799999999988</v>
      </c>
      <c r="F484" s="20">
        <f t="shared" ref="F484:G486" si="139">F485</f>
        <v>86353.9</v>
      </c>
      <c r="G484" s="20">
        <f t="shared" si="139"/>
        <v>89423.6</v>
      </c>
    </row>
    <row r="485" spans="1:7" ht="30" x14ac:dyDescent="0.25">
      <c r="A485" s="1" t="s">
        <v>356</v>
      </c>
      <c r="B485" s="15" t="s">
        <v>328</v>
      </c>
      <c r="C485" s="81" t="s">
        <v>357</v>
      </c>
      <c r="D485" s="16"/>
      <c r="E485" s="20">
        <f>E486</f>
        <v>83553.799999999988</v>
      </c>
      <c r="F485" s="20">
        <f t="shared" si="139"/>
        <v>86353.9</v>
      </c>
      <c r="G485" s="20">
        <f t="shared" si="139"/>
        <v>89423.6</v>
      </c>
    </row>
    <row r="486" spans="1:7" ht="30" x14ac:dyDescent="0.25">
      <c r="A486" s="61" t="s">
        <v>51</v>
      </c>
      <c r="B486" s="15" t="s">
        <v>328</v>
      </c>
      <c r="C486" s="16" t="s">
        <v>358</v>
      </c>
      <c r="D486" s="16"/>
      <c r="E486" s="20">
        <f>E487</f>
        <v>83553.799999999988</v>
      </c>
      <c r="F486" s="20">
        <f t="shared" si="139"/>
        <v>86353.9</v>
      </c>
      <c r="G486" s="20">
        <f t="shared" si="139"/>
        <v>89423.6</v>
      </c>
    </row>
    <row r="487" spans="1:7" ht="30" x14ac:dyDescent="0.25">
      <c r="A487" s="1" t="s">
        <v>58</v>
      </c>
      <c r="B487" s="15" t="s">
        <v>328</v>
      </c>
      <c r="C487" s="16" t="s">
        <v>358</v>
      </c>
      <c r="D487" s="16" t="s">
        <v>308</v>
      </c>
      <c r="E487" s="20">
        <f>81447.4+500+1606.4</f>
        <v>83553.799999999988</v>
      </c>
      <c r="F487" s="20">
        <v>86353.9</v>
      </c>
      <c r="G487" s="20">
        <v>89423.6</v>
      </c>
    </row>
    <row r="488" spans="1:7" x14ac:dyDescent="0.25">
      <c r="A488" s="9" t="s">
        <v>427</v>
      </c>
      <c r="B488" s="10" t="s">
        <v>167</v>
      </c>
      <c r="C488" s="14"/>
      <c r="D488" s="10"/>
      <c r="E488" s="12">
        <f>E489+E499</f>
        <v>30477.7</v>
      </c>
      <c r="F488" s="12">
        <f>F489+F499</f>
        <v>28235.8</v>
      </c>
      <c r="G488" s="12">
        <f t="shared" ref="G488" si="140">G489+G499</f>
        <v>19879.400000000001</v>
      </c>
    </row>
    <row r="489" spans="1:7" ht="30" x14ac:dyDescent="0.25">
      <c r="A489" s="1" t="s">
        <v>523</v>
      </c>
      <c r="B489" s="15" t="s">
        <v>167</v>
      </c>
      <c r="C489" s="16" t="s">
        <v>168</v>
      </c>
      <c r="D489" s="15"/>
      <c r="E489" s="20">
        <f>SUM(E490+E496)</f>
        <v>14197</v>
      </c>
      <c r="F489" s="20">
        <f t="shared" ref="F489:G489" si="141">SUM(F490+F496)</f>
        <v>14327.199999999999</v>
      </c>
      <c r="G489" s="20">
        <f t="shared" si="141"/>
        <v>13710.800000000001</v>
      </c>
    </row>
    <row r="490" spans="1:7" ht="30" x14ac:dyDescent="0.25">
      <c r="A490" s="1" t="s">
        <v>169</v>
      </c>
      <c r="B490" s="15" t="s">
        <v>167</v>
      </c>
      <c r="C490" s="16" t="s">
        <v>170</v>
      </c>
      <c r="D490" s="17"/>
      <c r="E490" s="20">
        <f>SUM(E491+E493)</f>
        <v>1758.3</v>
      </c>
      <c r="F490" s="20">
        <f>SUM(F491+F493)</f>
        <v>1520.9</v>
      </c>
      <c r="G490" s="20">
        <f>SUM(G491+G493)</f>
        <v>930.1</v>
      </c>
    </row>
    <row r="491" spans="1:7" x14ac:dyDescent="0.25">
      <c r="A491" s="1" t="s">
        <v>425</v>
      </c>
      <c r="B491" s="15" t="s">
        <v>167</v>
      </c>
      <c r="C491" s="16" t="s">
        <v>171</v>
      </c>
      <c r="D491" s="17"/>
      <c r="E491" s="20">
        <f>E492</f>
        <v>1320.3</v>
      </c>
      <c r="F491" s="20">
        <f t="shared" ref="F491:G491" si="142">F492</f>
        <v>1320.9</v>
      </c>
      <c r="G491" s="20">
        <f t="shared" si="142"/>
        <v>730.1</v>
      </c>
    </row>
    <row r="492" spans="1:7" ht="30" x14ac:dyDescent="0.25">
      <c r="A492" s="1" t="s">
        <v>21</v>
      </c>
      <c r="B492" s="15" t="s">
        <v>167</v>
      </c>
      <c r="C492" s="16" t="s">
        <v>171</v>
      </c>
      <c r="D492" s="17">
        <v>200</v>
      </c>
      <c r="E492" s="60">
        <f>1001.8+62+556.5-300</f>
        <v>1320.3</v>
      </c>
      <c r="F492" s="60">
        <v>1320.9</v>
      </c>
      <c r="G492" s="20">
        <v>730.1</v>
      </c>
    </row>
    <row r="493" spans="1:7" x14ac:dyDescent="0.25">
      <c r="A493" s="98" t="s">
        <v>609</v>
      </c>
      <c r="B493" s="15" t="s">
        <v>167</v>
      </c>
      <c r="C493" s="16" t="s">
        <v>172</v>
      </c>
      <c r="D493" s="17"/>
      <c r="E493" s="20">
        <f>E494+E495</f>
        <v>438</v>
      </c>
      <c r="F493" s="20">
        <f t="shared" ref="F493:G493" si="143">F494+F495</f>
        <v>200</v>
      </c>
      <c r="G493" s="20">
        <f t="shared" si="143"/>
        <v>200</v>
      </c>
    </row>
    <row r="494" spans="1:7" x14ac:dyDescent="0.25">
      <c r="A494" s="1" t="s">
        <v>29</v>
      </c>
      <c r="B494" s="15" t="s">
        <v>167</v>
      </c>
      <c r="C494" s="16" t="s">
        <v>172</v>
      </c>
      <c r="D494" s="17">
        <v>300</v>
      </c>
      <c r="E494" s="60">
        <f>100+38</f>
        <v>138</v>
      </c>
      <c r="F494" s="60">
        <v>100</v>
      </c>
      <c r="G494" s="60">
        <v>100</v>
      </c>
    </row>
    <row r="495" spans="1:7" ht="30" x14ac:dyDescent="0.25">
      <c r="A495" s="66" t="s">
        <v>58</v>
      </c>
      <c r="B495" s="15" t="s">
        <v>167</v>
      </c>
      <c r="C495" s="16" t="s">
        <v>172</v>
      </c>
      <c r="D495" s="17">
        <v>600</v>
      </c>
      <c r="E495" s="60">
        <f>100-100+300</f>
        <v>300</v>
      </c>
      <c r="F495" s="60">
        <v>100</v>
      </c>
      <c r="G495" s="60">
        <v>100</v>
      </c>
    </row>
    <row r="496" spans="1:7" ht="30" x14ac:dyDescent="0.25">
      <c r="A496" s="1" t="s">
        <v>173</v>
      </c>
      <c r="B496" s="15" t="s">
        <v>167</v>
      </c>
      <c r="C496" s="16" t="s">
        <v>174</v>
      </c>
      <c r="D496" s="17"/>
      <c r="E496" s="20">
        <f>E497</f>
        <v>12438.7</v>
      </c>
      <c r="F496" s="20">
        <f t="shared" ref="F496:G497" si="144">F497</f>
        <v>12806.3</v>
      </c>
      <c r="G496" s="20">
        <f t="shared" si="144"/>
        <v>12780.7</v>
      </c>
    </row>
    <row r="497" spans="1:7" ht="30" x14ac:dyDescent="0.25">
      <c r="A497" s="1" t="s">
        <v>57</v>
      </c>
      <c r="B497" s="15" t="s">
        <v>167</v>
      </c>
      <c r="C497" s="16" t="s">
        <v>175</v>
      </c>
      <c r="D497" s="17"/>
      <c r="E497" s="20">
        <f>E498</f>
        <v>12438.7</v>
      </c>
      <c r="F497" s="20">
        <f t="shared" si="144"/>
        <v>12806.3</v>
      </c>
      <c r="G497" s="20">
        <f t="shared" si="144"/>
        <v>12780.7</v>
      </c>
    </row>
    <row r="498" spans="1:7" ht="30" x14ac:dyDescent="0.25">
      <c r="A498" s="1" t="s">
        <v>58</v>
      </c>
      <c r="B498" s="15" t="s">
        <v>167</v>
      </c>
      <c r="C498" s="16" t="s">
        <v>175</v>
      </c>
      <c r="D498" s="17">
        <v>600</v>
      </c>
      <c r="E498" s="60">
        <v>12438.7</v>
      </c>
      <c r="F498" s="60">
        <v>12806.3</v>
      </c>
      <c r="G498" s="20">
        <v>12780.7</v>
      </c>
    </row>
    <row r="499" spans="1:7" ht="30" x14ac:dyDescent="0.25">
      <c r="A499" s="66" t="s">
        <v>537</v>
      </c>
      <c r="B499" s="15" t="s">
        <v>167</v>
      </c>
      <c r="C499" s="16" t="s">
        <v>302</v>
      </c>
      <c r="D499" s="17"/>
      <c r="E499" s="20">
        <f>SUM(E500)</f>
        <v>16280.7</v>
      </c>
      <c r="F499" s="20">
        <f t="shared" ref="F499:G500" si="145">SUM(F500)</f>
        <v>13908.6</v>
      </c>
      <c r="G499" s="20">
        <f t="shared" si="145"/>
        <v>6168.6</v>
      </c>
    </row>
    <row r="500" spans="1:7" x14ac:dyDescent="0.25">
      <c r="A500" s="62" t="s">
        <v>329</v>
      </c>
      <c r="B500" s="16" t="s">
        <v>167</v>
      </c>
      <c r="C500" s="16" t="s">
        <v>330</v>
      </c>
      <c r="D500" s="65"/>
      <c r="E500" s="20">
        <f>SUM(E501)</f>
        <v>16280.7</v>
      </c>
      <c r="F500" s="20">
        <f t="shared" si="145"/>
        <v>13908.6</v>
      </c>
      <c r="G500" s="20">
        <f t="shared" si="145"/>
        <v>6168.6</v>
      </c>
    </row>
    <row r="501" spans="1:7" ht="30" x14ac:dyDescent="0.25">
      <c r="A501" s="89" t="s">
        <v>331</v>
      </c>
      <c r="B501" s="81" t="s">
        <v>167</v>
      </c>
      <c r="C501" s="81" t="s">
        <v>332</v>
      </c>
      <c r="D501" s="65"/>
      <c r="E501" s="20">
        <f>SUM(E502+E504+E507)</f>
        <v>16280.7</v>
      </c>
      <c r="F501" s="20">
        <f>SUM(F502+F504+F507)</f>
        <v>13908.6</v>
      </c>
      <c r="G501" s="20">
        <f>SUM(G502+G504+G507)</f>
        <v>6168.6</v>
      </c>
    </row>
    <row r="502" spans="1:7" ht="30" x14ac:dyDescent="0.25">
      <c r="A502" s="62" t="s">
        <v>333</v>
      </c>
      <c r="B502" s="16" t="s">
        <v>167</v>
      </c>
      <c r="C502" s="16" t="s">
        <v>334</v>
      </c>
      <c r="D502" s="65"/>
      <c r="E502" s="20">
        <f>E503</f>
        <v>1158.6000000000001</v>
      </c>
      <c r="F502" s="20">
        <f t="shared" ref="F502:G502" si="146">F503</f>
        <v>1000</v>
      </c>
      <c r="G502" s="20">
        <f t="shared" si="146"/>
        <v>1000</v>
      </c>
    </row>
    <row r="503" spans="1:7" ht="30" x14ac:dyDescent="0.25">
      <c r="A503" s="1" t="s">
        <v>58</v>
      </c>
      <c r="B503" s="15" t="s">
        <v>167</v>
      </c>
      <c r="C503" s="16" t="s">
        <v>334</v>
      </c>
      <c r="D503" s="17">
        <v>600</v>
      </c>
      <c r="E503" s="20">
        <f>1000+67.7+90.9</f>
        <v>1158.6000000000001</v>
      </c>
      <c r="F503" s="20">
        <v>1000</v>
      </c>
      <c r="G503" s="20">
        <v>1000</v>
      </c>
    </row>
    <row r="504" spans="1:7" ht="30" x14ac:dyDescent="0.25">
      <c r="A504" s="1" t="s">
        <v>335</v>
      </c>
      <c r="B504" s="15" t="s">
        <v>167</v>
      </c>
      <c r="C504" s="16" t="s">
        <v>336</v>
      </c>
      <c r="D504" s="17"/>
      <c r="E504" s="20">
        <f>SUM(E505:E506)</f>
        <v>6920.1</v>
      </c>
      <c r="F504" s="20">
        <f>SUM(F505:F506)</f>
        <v>5526.8</v>
      </c>
      <c r="G504" s="20">
        <f>SUM(G505:G506)</f>
        <v>2989.3</v>
      </c>
    </row>
    <row r="505" spans="1:7" x14ac:dyDescent="0.25">
      <c r="A505" s="1" t="s">
        <v>29</v>
      </c>
      <c r="B505" s="15" t="s">
        <v>167</v>
      </c>
      <c r="C505" s="16" t="s">
        <v>336</v>
      </c>
      <c r="D505" s="17">
        <v>300</v>
      </c>
      <c r="E505" s="20">
        <f>1496+1838.2+3585.9</f>
        <v>6920.1</v>
      </c>
      <c r="F505" s="20">
        <v>1839</v>
      </c>
      <c r="G505" s="20">
        <v>1076</v>
      </c>
    </row>
    <row r="506" spans="1:7" ht="30" x14ac:dyDescent="0.25">
      <c r="A506" s="1" t="s">
        <v>58</v>
      </c>
      <c r="B506" s="15" t="s">
        <v>167</v>
      </c>
      <c r="C506" s="16" t="s">
        <v>336</v>
      </c>
      <c r="D506" s="17">
        <v>600</v>
      </c>
      <c r="E506" s="20">
        <f>2658.4-2658.4</f>
        <v>0</v>
      </c>
      <c r="F506" s="20">
        <v>3687.8</v>
      </c>
      <c r="G506" s="20">
        <v>1913.3</v>
      </c>
    </row>
    <row r="507" spans="1:7" ht="75" x14ac:dyDescent="0.25">
      <c r="A507" s="66" t="s">
        <v>541</v>
      </c>
      <c r="B507" s="15" t="s">
        <v>167</v>
      </c>
      <c r="C507" s="115" t="s">
        <v>440</v>
      </c>
      <c r="D507" s="17"/>
      <c r="E507" s="20">
        <f>SUM(E508:E510)</f>
        <v>8202</v>
      </c>
      <c r="F507" s="20">
        <f t="shared" ref="F507:G507" si="147">SUM(F508:F510)</f>
        <v>7381.8</v>
      </c>
      <c r="G507" s="20">
        <f t="shared" si="147"/>
        <v>2179.3000000000002</v>
      </c>
    </row>
    <row r="508" spans="1:7" ht="30" x14ac:dyDescent="0.25">
      <c r="A508" s="1" t="s">
        <v>21</v>
      </c>
      <c r="B508" s="15" t="s">
        <v>167</v>
      </c>
      <c r="C508" s="115" t="s">
        <v>440</v>
      </c>
      <c r="D508" s="17">
        <v>200</v>
      </c>
      <c r="E508" s="20">
        <f>5+0.6</f>
        <v>5.6</v>
      </c>
      <c r="F508" s="20">
        <v>0</v>
      </c>
      <c r="G508" s="20">
        <v>0</v>
      </c>
    </row>
    <row r="509" spans="1:7" x14ac:dyDescent="0.25">
      <c r="A509" s="1" t="s">
        <v>29</v>
      </c>
      <c r="B509" s="15" t="s">
        <v>167</v>
      </c>
      <c r="C509" s="115" t="s">
        <v>440</v>
      </c>
      <c r="D509" s="17">
        <v>300</v>
      </c>
      <c r="E509" s="20">
        <f>768.7+7427.7</f>
        <v>8196.4</v>
      </c>
      <c r="F509" s="20">
        <v>1982.3</v>
      </c>
      <c r="G509" s="20">
        <v>0</v>
      </c>
    </row>
    <row r="510" spans="1:7" ht="30" x14ac:dyDescent="0.25">
      <c r="A510" s="1" t="s">
        <v>58</v>
      </c>
      <c r="B510" s="15" t="s">
        <v>167</v>
      </c>
      <c r="C510" s="115" t="s">
        <v>440</v>
      </c>
      <c r="D510" s="17">
        <v>600</v>
      </c>
      <c r="E510" s="20">
        <f>6608.1-6608.1</f>
        <v>0</v>
      </c>
      <c r="F510" s="20">
        <v>5399.5</v>
      </c>
      <c r="G510" s="20">
        <f>5399.5-3220.2</f>
        <v>2179.3000000000002</v>
      </c>
    </row>
    <row r="511" spans="1:7" x14ac:dyDescent="0.25">
      <c r="A511" s="9" t="s">
        <v>337</v>
      </c>
      <c r="B511" s="10" t="s">
        <v>338</v>
      </c>
      <c r="C511" s="124"/>
      <c r="D511" s="11"/>
      <c r="E511" s="101">
        <f>SUM(E512)</f>
        <v>79126.799999999988</v>
      </c>
      <c r="F511" s="101">
        <f t="shared" ref="F511:G511" si="148">SUM(F512)</f>
        <v>80136.700000000012</v>
      </c>
      <c r="G511" s="101">
        <f t="shared" si="148"/>
        <v>81226.000000000015</v>
      </c>
    </row>
    <row r="512" spans="1:7" ht="30" x14ac:dyDescent="0.25">
      <c r="A512" s="66" t="s">
        <v>537</v>
      </c>
      <c r="B512" s="16" t="s">
        <v>338</v>
      </c>
      <c r="C512" s="16" t="s">
        <v>302</v>
      </c>
      <c r="D512" s="65"/>
      <c r="E512" s="102">
        <f>SUM(E513+E522)</f>
        <v>79126.799999999988</v>
      </c>
      <c r="F512" s="102">
        <f t="shared" ref="F512:G512" si="149">SUM(F513+F522)</f>
        <v>80136.700000000012</v>
      </c>
      <c r="G512" s="102">
        <f t="shared" si="149"/>
        <v>81226.000000000015</v>
      </c>
    </row>
    <row r="513" spans="1:7" x14ac:dyDescent="0.25">
      <c r="A513" s="62" t="s">
        <v>329</v>
      </c>
      <c r="B513" s="16" t="s">
        <v>338</v>
      </c>
      <c r="C513" s="81" t="s">
        <v>330</v>
      </c>
      <c r="D513" s="65"/>
      <c r="E513" s="102">
        <f>SUM(E514+E518)</f>
        <v>7923.2</v>
      </c>
      <c r="F513" s="102">
        <f t="shared" ref="F513:G513" si="150">SUM(F514+F518)</f>
        <v>7857.8</v>
      </c>
      <c r="G513" s="102">
        <f t="shared" si="150"/>
        <v>7996.8</v>
      </c>
    </row>
    <row r="514" spans="1:7" ht="30" x14ac:dyDescent="0.25">
      <c r="A514" s="89" t="s">
        <v>339</v>
      </c>
      <c r="B514" s="16" t="s">
        <v>338</v>
      </c>
      <c r="C514" s="81" t="s">
        <v>340</v>
      </c>
      <c r="D514" s="65"/>
      <c r="E514" s="102">
        <f>SUM(E515)</f>
        <v>7243.2</v>
      </c>
      <c r="F514" s="102">
        <f t="shared" ref="F514:G514" si="151">SUM(F515)</f>
        <v>7523</v>
      </c>
      <c r="G514" s="102">
        <f t="shared" si="151"/>
        <v>7792</v>
      </c>
    </row>
    <row r="515" spans="1:7" ht="75" x14ac:dyDescent="0.25">
      <c r="A515" s="66" t="s">
        <v>542</v>
      </c>
      <c r="B515" s="16" t="s">
        <v>338</v>
      </c>
      <c r="C515" s="81" t="s">
        <v>341</v>
      </c>
      <c r="D515" s="65"/>
      <c r="E515" s="106">
        <f>SUM(E516:E517)</f>
        <v>7243.2</v>
      </c>
      <c r="F515" s="106">
        <f t="shared" ref="F515:G515" si="152">SUM(F516:F517)</f>
        <v>7523</v>
      </c>
      <c r="G515" s="106">
        <f t="shared" si="152"/>
        <v>7792</v>
      </c>
    </row>
    <row r="516" spans="1:7" ht="60" x14ac:dyDescent="0.25">
      <c r="A516" s="1" t="s">
        <v>14</v>
      </c>
      <c r="B516" s="16" t="s">
        <v>338</v>
      </c>
      <c r="C516" s="81" t="s">
        <v>341</v>
      </c>
      <c r="D516" s="111">
        <v>100</v>
      </c>
      <c r="E516" s="20">
        <f>6096.4+580.5+9.5</f>
        <v>6686.4</v>
      </c>
      <c r="F516" s="20">
        <f>6096.4+860.3</f>
        <v>6956.7</v>
      </c>
      <c r="G516" s="20">
        <f>6096.4+1129.3</f>
        <v>7225.7</v>
      </c>
    </row>
    <row r="517" spans="1:7" ht="30" x14ac:dyDescent="0.25">
      <c r="A517" s="1" t="s">
        <v>21</v>
      </c>
      <c r="B517" s="15" t="s">
        <v>338</v>
      </c>
      <c r="C517" s="81" t="s">
        <v>341</v>
      </c>
      <c r="D517" s="111">
        <v>200</v>
      </c>
      <c r="E517" s="20">
        <f>524.6+41.7-9.5</f>
        <v>556.80000000000007</v>
      </c>
      <c r="F517" s="20">
        <f>524.6+41.7</f>
        <v>566.30000000000007</v>
      </c>
      <c r="G517" s="20">
        <f>524.6+41.7</f>
        <v>566.30000000000007</v>
      </c>
    </row>
    <row r="518" spans="1:7" x14ac:dyDescent="0.25">
      <c r="A518" s="94" t="s">
        <v>455</v>
      </c>
      <c r="B518" s="15" t="s">
        <v>338</v>
      </c>
      <c r="C518" s="115" t="s">
        <v>457</v>
      </c>
      <c r="D518" s="113"/>
      <c r="E518" s="20">
        <f t="shared" ref="E518:G518" si="153">E519</f>
        <v>680</v>
      </c>
      <c r="F518" s="20">
        <f t="shared" si="153"/>
        <v>334.8</v>
      </c>
      <c r="G518" s="20">
        <f t="shared" si="153"/>
        <v>204.8</v>
      </c>
    </row>
    <row r="519" spans="1:7" ht="30" x14ac:dyDescent="0.25">
      <c r="A519" s="94" t="s">
        <v>456</v>
      </c>
      <c r="B519" s="15" t="s">
        <v>338</v>
      </c>
      <c r="C519" s="115" t="s">
        <v>458</v>
      </c>
      <c r="D519" s="113"/>
      <c r="E519" s="20">
        <f>E520+E521</f>
        <v>680</v>
      </c>
      <c r="F519" s="20">
        <f t="shared" ref="F519:G519" si="154">F520+F521</f>
        <v>334.8</v>
      </c>
      <c r="G519" s="20">
        <f t="shared" si="154"/>
        <v>204.8</v>
      </c>
    </row>
    <row r="520" spans="1:7" ht="30" x14ac:dyDescent="0.25">
      <c r="A520" s="66" t="s">
        <v>21</v>
      </c>
      <c r="B520" s="15" t="s">
        <v>338</v>
      </c>
      <c r="C520" s="115" t="s">
        <v>458</v>
      </c>
      <c r="D520" s="113">
        <v>200</v>
      </c>
      <c r="E520" s="20">
        <v>264.5</v>
      </c>
      <c r="F520" s="20">
        <v>334.8</v>
      </c>
      <c r="G520" s="20">
        <v>204.8</v>
      </c>
    </row>
    <row r="521" spans="1:7" ht="30" x14ac:dyDescent="0.25">
      <c r="A521" s="66" t="s">
        <v>58</v>
      </c>
      <c r="B521" s="15" t="s">
        <v>338</v>
      </c>
      <c r="C521" s="115" t="s">
        <v>458</v>
      </c>
      <c r="D521" s="113">
        <v>600</v>
      </c>
      <c r="E521" s="20">
        <v>415.5</v>
      </c>
      <c r="F521" s="20">
        <v>0</v>
      </c>
      <c r="G521" s="20">
        <v>0</v>
      </c>
    </row>
    <row r="522" spans="1:7" ht="45" x14ac:dyDescent="0.25">
      <c r="A522" s="66" t="s">
        <v>507</v>
      </c>
      <c r="B522" s="15" t="s">
        <v>338</v>
      </c>
      <c r="C522" s="81" t="s">
        <v>309</v>
      </c>
      <c r="D522" s="17"/>
      <c r="E522" s="20">
        <f>SUM(E523+E533)</f>
        <v>71203.599999999991</v>
      </c>
      <c r="F522" s="20">
        <f t="shared" ref="F522:G522" si="155">SUM(F523+F533)</f>
        <v>72278.900000000009</v>
      </c>
      <c r="G522" s="20">
        <f t="shared" si="155"/>
        <v>73229.200000000012</v>
      </c>
    </row>
    <row r="523" spans="1:7" x14ac:dyDescent="0.25">
      <c r="A523" s="1" t="s">
        <v>342</v>
      </c>
      <c r="B523" s="15" t="s">
        <v>338</v>
      </c>
      <c r="C523" s="81" t="s">
        <v>343</v>
      </c>
      <c r="D523" s="17"/>
      <c r="E523" s="20">
        <f>SUM(E524+E528)</f>
        <v>70824.7</v>
      </c>
      <c r="F523" s="20">
        <f>SUM(F524+F528)</f>
        <v>71772.900000000009</v>
      </c>
      <c r="G523" s="20">
        <f>SUM(G524+G528)</f>
        <v>72919.700000000012</v>
      </c>
    </row>
    <row r="524" spans="1:7" ht="30" x14ac:dyDescent="0.25">
      <c r="A524" s="62" t="s">
        <v>42</v>
      </c>
      <c r="B524" s="15" t="s">
        <v>338</v>
      </c>
      <c r="C524" s="115" t="s">
        <v>344</v>
      </c>
      <c r="D524" s="17"/>
      <c r="E524" s="20">
        <f>SUM(E525:E527)</f>
        <v>22133.7</v>
      </c>
      <c r="F524" s="20">
        <f>SUM(F525:F527)</f>
        <v>22245.8</v>
      </c>
      <c r="G524" s="20">
        <f>SUM(G525:G527)</f>
        <v>22562</v>
      </c>
    </row>
    <row r="525" spans="1:7" ht="60" x14ac:dyDescent="0.25">
      <c r="A525" s="1" t="s">
        <v>14</v>
      </c>
      <c r="B525" s="15" t="s">
        <v>338</v>
      </c>
      <c r="C525" s="115" t="s">
        <v>344</v>
      </c>
      <c r="D525" s="17">
        <v>100</v>
      </c>
      <c r="E525" s="20">
        <f>20837.2+350.8</f>
        <v>21188</v>
      </c>
      <c r="F525" s="20">
        <v>21034.7</v>
      </c>
      <c r="G525" s="20">
        <v>21842.400000000001</v>
      </c>
    </row>
    <row r="526" spans="1:7" ht="30" x14ac:dyDescent="0.25">
      <c r="A526" s="1" t="s">
        <v>21</v>
      </c>
      <c r="B526" s="15" t="s">
        <v>338</v>
      </c>
      <c r="C526" s="115" t="s">
        <v>344</v>
      </c>
      <c r="D526" s="17">
        <v>200</v>
      </c>
      <c r="E526" s="20">
        <v>938.9</v>
      </c>
      <c r="F526" s="20">
        <v>1204.3</v>
      </c>
      <c r="G526" s="20">
        <v>712.8</v>
      </c>
    </row>
    <row r="527" spans="1:7" x14ac:dyDescent="0.25">
      <c r="A527" s="61" t="s">
        <v>22</v>
      </c>
      <c r="B527" s="15" t="s">
        <v>338</v>
      </c>
      <c r="C527" s="115" t="s">
        <v>344</v>
      </c>
      <c r="D527" s="17">
        <v>800</v>
      </c>
      <c r="E527" s="20">
        <v>6.8</v>
      </c>
      <c r="F527" s="20">
        <v>6.8</v>
      </c>
      <c r="G527" s="20">
        <v>6.8</v>
      </c>
    </row>
    <row r="528" spans="1:7" ht="30" x14ac:dyDescent="0.25">
      <c r="A528" s="61" t="s">
        <v>51</v>
      </c>
      <c r="B528" s="15" t="s">
        <v>338</v>
      </c>
      <c r="C528" s="115" t="s">
        <v>345</v>
      </c>
      <c r="D528" s="17"/>
      <c r="E528" s="20">
        <f>SUM(E529:E532)</f>
        <v>48691</v>
      </c>
      <c r="F528" s="20">
        <f t="shared" ref="F528:G528" si="156">SUM(F529:F532)</f>
        <v>49527.100000000006</v>
      </c>
      <c r="G528" s="20">
        <f t="shared" si="156"/>
        <v>50357.700000000004</v>
      </c>
    </row>
    <row r="529" spans="1:7" ht="60" x14ac:dyDescent="0.25">
      <c r="A529" s="1" t="s">
        <v>14</v>
      </c>
      <c r="B529" s="15" t="s">
        <v>338</v>
      </c>
      <c r="C529" s="115" t="s">
        <v>345</v>
      </c>
      <c r="D529" s="17">
        <v>100</v>
      </c>
      <c r="E529" s="20">
        <v>41994.1</v>
      </c>
      <c r="F529" s="20">
        <v>42392.9</v>
      </c>
      <c r="G529" s="20">
        <v>44025.3</v>
      </c>
    </row>
    <row r="530" spans="1:7" ht="30" x14ac:dyDescent="0.25">
      <c r="A530" s="1" t="s">
        <v>21</v>
      </c>
      <c r="B530" s="15" t="s">
        <v>338</v>
      </c>
      <c r="C530" s="115" t="s">
        <v>345</v>
      </c>
      <c r="D530" s="17">
        <v>200</v>
      </c>
      <c r="E530" s="20">
        <f>1713+35.1+100</f>
        <v>1848.1</v>
      </c>
      <c r="F530" s="20">
        <v>2170.6</v>
      </c>
      <c r="G530" s="20">
        <v>1323.5</v>
      </c>
    </row>
    <row r="531" spans="1:7" ht="30" x14ac:dyDescent="0.25">
      <c r="A531" s="1" t="s">
        <v>58</v>
      </c>
      <c r="B531" s="15" t="s">
        <v>338</v>
      </c>
      <c r="C531" s="115" t="s">
        <v>345</v>
      </c>
      <c r="D531" s="17">
        <v>600</v>
      </c>
      <c r="E531" s="20">
        <v>4845.5</v>
      </c>
      <c r="F531" s="20">
        <v>4960.3</v>
      </c>
      <c r="G531" s="20">
        <v>5005.6000000000004</v>
      </c>
    </row>
    <row r="532" spans="1:7" x14ac:dyDescent="0.25">
      <c r="A532" s="61" t="s">
        <v>22</v>
      </c>
      <c r="B532" s="15" t="s">
        <v>338</v>
      </c>
      <c r="C532" s="115" t="s">
        <v>345</v>
      </c>
      <c r="D532" s="17">
        <v>800</v>
      </c>
      <c r="E532" s="20">
        <v>3.3</v>
      </c>
      <c r="F532" s="20">
        <v>3.3</v>
      </c>
      <c r="G532" s="20">
        <v>3.3</v>
      </c>
    </row>
    <row r="533" spans="1:7" ht="30" x14ac:dyDescent="0.25">
      <c r="A533" s="125" t="s">
        <v>459</v>
      </c>
      <c r="B533" s="15" t="s">
        <v>338</v>
      </c>
      <c r="C533" s="115" t="s">
        <v>311</v>
      </c>
      <c r="D533" s="17"/>
      <c r="E533" s="20">
        <f>E534</f>
        <v>378.9</v>
      </c>
      <c r="F533" s="20">
        <f t="shared" ref="F533:G534" si="157">F534</f>
        <v>506</v>
      </c>
      <c r="G533" s="20">
        <f t="shared" si="157"/>
        <v>309.5</v>
      </c>
    </row>
    <row r="534" spans="1:7" ht="30" x14ac:dyDescent="0.25">
      <c r="A534" s="125" t="s">
        <v>325</v>
      </c>
      <c r="B534" s="15" t="s">
        <v>338</v>
      </c>
      <c r="C534" s="115" t="s">
        <v>326</v>
      </c>
      <c r="D534" s="17"/>
      <c r="E534" s="20">
        <f>E535</f>
        <v>378.9</v>
      </c>
      <c r="F534" s="20">
        <f t="shared" si="157"/>
        <v>506</v>
      </c>
      <c r="G534" s="20">
        <f t="shared" si="157"/>
        <v>309.5</v>
      </c>
    </row>
    <row r="535" spans="1:7" ht="30" x14ac:dyDescent="0.25">
      <c r="A535" s="66" t="s">
        <v>58</v>
      </c>
      <c r="B535" s="15" t="s">
        <v>338</v>
      </c>
      <c r="C535" s="115" t="s">
        <v>326</v>
      </c>
      <c r="D535" s="17">
        <v>600</v>
      </c>
      <c r="E535" s="20">
        <f>399.9+200-221</f>
        <v>378.9</v>
      </c>
      <c r="F535" s="20">
        <v>506</v>
      </c>
      <c r="G535" s="20">
        <v>309.5</v>
      </c>
    </row>
    <row r="536" spans="1:7" x14ac:dyDescent="0.25">
      <c r="A536" s="9" t="s">
        <v>359</v>
      </c>
      <c r="B536" s="10" t="s">
        <v>360</v>
      </c>
      <c r="C536" s="124"/>
      <c r="D536" s="11"/>
      <c r="E536" s="12">
        <f>SUM(E537+E553)</f>
        <v>246113.60000000003</v>
      </c>
      <c r="F536" s="12">
        <f>SUM(F537+F553)</f>
        <v>237432.59999999998</v>
      </c>
      <c r="G536" s="12">
        <f>SUM(G537+G553)</f>
        <v>241435.50000000003</v>
      </c>
    </row>
    <row r="537" spans="1:7" x14ac:dyDescent="0.25">
      <c r="A537" s="9" t="s">
        <v>361</v>
      </c>
      <c r="B537" s="10" t="s">
        <v>362</v>
      </c>
      <c r="C537" s="14"/>
      <c r="D537" s="11"/>
      <c r="E537" s="12">
        <f>SUM(E538)</f>
        <v>199222.30000000002</v>
      </c>
      <c r="F537" s="12">
        <f t="shared" ref="F537:G537" si="158">SUM(F538)</f>
        <v>190625.19999999998</v>
      </c>
      <c r="G537" s="12">
        <f t="shared" si="158"/>
        <v>194459.30000000002</v>
      </c>
    </row>
    <row r="538" spans="1:7" ht="30" x14ac:dyDescent="0.25">
      <c r="A538" s="122" t="s">
        <v>540</v>
      </c>
      <c r="B538" s="15" t="s">
        <v>362</v>
      </c>
      <c r="C538" s="126" t="s">
        <v>353</v>
      </c>
      <c r="D538" s="17"/>
      <c r="E538" s="59">
        <f>E539+E545+E549</f>
        <v>199222.30000000002</v>
      </c>
      <c r="F538" s="59">
        <f>F539+F545+F549</f>
        <v>190625.19999999998</v>
      </c>
      <c r="G538" s="59">
        <f>G539+G545+G549</f>
        <v>194459.30000000002</v>
      </c>
    </row>
    <row r="539" spans="1:7" x14ac:dyDescent="0.25">
      <c r="A539" s="1" t="s">
        <v>363</v>
      </c>
      <c r="B539" s="15" t="s">
        <v>362</v>
      </c>
      <c r="C539" s="115" t="s">
        <v>364</v>
      </c>
      <c r="D539" s="17"/>
      <c r="E539" s="59">
        <f>E540+E543</f>
        <v>53733.1</v>
      </c>
      <c r="F539" s="59">
        <f t="shared" ref="F539:G539" si="159">F540+F543</f>
        <v>48038.400000000001</v>
      </c>
      <c r="G539" s="59">
        <f t="shared" si="159"/>
        <v>49689.1</v>
      </c>
    </row>
    <row r="540" spans="1:7" x14ac:dyDescent="0.25">
      <c r="A540" s="1" t="s">
        <v>365</v>
      </c>
      <c r="B540" s="15" t="s">
        <v>362</v>
      </c>
      <c r="C540" s="115" t="s">
        <v>366</v>
      </c>
      <c r="D540" s="17"/>
      <c r="E540" s="59">
        <f>E541</f>
        <v>48254.6</v>
      </c>
      <c r="F540" s="59">
        <f t="shared" ref="F540:G540" si="160">F541</f>
        <v>45129.599999999999</v>
      </c>
      <c r="G540" s="59">
        <f t="shared" si="160"/>
        <v>49689.1</v>
      </c>
    </row>
    <row r="541" spans="1:7" ht="30" x14ac:dyDescent="0.25">
      <c r="A541" s="122" t="s">
        <v>51</v>
      </c>
      <c r="B541" s="15" t="s">
        <v>362</v>
      </c>
      <c r="C541" s="115" t="s">
        <v>367</v>
      </c>
      <c r="D541" s="17"/>
      <c r="E541" s="59">
        <f>E542</f>
        <v>48254.6</v>
      </c>
      <c r="F541" s="59">
        <f t="shared" ref="F541:G541" si="161">F542</f>
        <v>45129.599999999999</v>
      </c>
      <c r="G541" s="59">
        <f t="shared" si="161"/>
        <v>49689.1</v>
      </c>
    </row>
    <row r="542" spans="1:7" ht="30" x14ac:dyDescent="0.25">
      <c r="A542" s="1" t="s">
        <v>58</v>
      </c>
      <c r="B542" s="15" t="s">
        <v>362</v>
      </c>
      <c r="C542" s="115" t="s">
        <v>367</v>
      </c>
      <c r="D542" s="17">
        <v>600</v>
      </c>
      <c r="E542" s="20">
        <f>45476.3+478.5+1253.7-478.5+1524.6</f>
        <v>48254.6</v>
      </c>
      <c r="F542" s="20">
        <f>48038.4-2908.8</f>
        <v>45129.599999999999</v>
      </c>
      <c r="G542" s="20">
        <v>49689.1</v>
      </c>
    </row>
    <row r="543" spans="1:7" ht="30" x14ac:dyDescent="0.25">
      <c r="A543" s="66" t="s">
        <v>626</v>
      </c>
      <c r="B543" s="15" t="s">
        <v>362</v>
      </c>
      <c r="C543" s="115" t="s">
        <v>627</v>
      </c>
      <c r="D543" s="17"/>
      <c r="E543" s="20">
        <f>E544</f>
        <v>5478.5</v>
      </c>
      <c r="F543" s="20">
        <f t="shared" ref="F543:G543" si="162">F544</f>
        <v>2908.8</v>
      </c>
      <c r="G543" s="20">
        <f t="shared" si="162"/>
        <v>0</v>
      </c>
    </row>
    <row r="544" spans="1:7" ht="30" x14ac:dyDescent="0.25">
      <c r="A544" s="66" t="s">
        <v>58</v>
      </c>
      <c r="B544" s="15" t="s">
        <v>362</v>
      </c>
      <c r="C544" s="115" t="s">
        <v>627</v>
      </c>
      <c r="D544" s="17">
        <v>600</v>
      </c>
      <c r="E544" s="20">
        <f>478.5+5000</f>
        <v>5478.5</v>
      </c>
      <c r="F544" s="20">
        <v>2908.8</v>
      </c>
      <c r="G544" s="20">
        <v>0</v>
      </c>
    </row>
    <row r="545" spans="1:7" ht="30" x14ac:dyDescent="0.25">
      <c r="A545" s="1" t="s">
        <v>368</v>
      </c>
      <c r="B545" s="15" t="s">
        <v>362</v>
      </c>
      <c r="C545" s="115" t="s">
        <v>369</v>
      </c>
      <c r="D545" s="16"/>
      <c r="E545" s="59">
        <f>SUM(E546)</f>
        <v>145112.30000000002</v>
      </c>
      <c r="F545" s="59">
        <f t="shared" ref="F545:G547" si="163">SUM(F546)</f>
        <v>142586.79999999999</v>
      </c>
      <c r="G545" s="59">
        <f t="shared" si="163"/>
        <v>144770.20000000001</v>
      </c>
    </row>
    <row r="546" spans="1:7" ht="30" x14ac:dyDescent="0.25">
      <c r="A546" s="1" t="s">
        <v>370</v>
      </c>
      <c r="B546" s="15" t="s">
        <v>362</v>
      </c>
      <c r="C546" s="115" t="s">
        <v>371</v>
      </c>
      <c r="D546" s="16"/>
      <c r="E546" s="59">
        <f>SUM(E547)</f>
        <v>145112.30000000002</v>
      </c>
      <c r="F546" s="59">
        <f t="shared" si="163"/>
        <v>142586.79999999999</v>
      </c>
      <c r="G546" s="59">
        <f t="shared" si="163"/>
        <v>144770.20000000001</v>
      </c>
    </row>
    <row r="547" spans="1:7" ht="30" x14ac:dyDescent="0.25">
      <c r="A547" s="122" t="s">
        <v>51</v>
      </c>
      <c r="B547" s="15" t="s">
        <v>362</v>
      </c>
      <c r="C547" s="16" t="s">
        <v>372</v>
      </c>
      <c r="D547" s="16"/>
      <c r="E547" s="59">
        <f>SUM(E548)</f>
        <v>145112.30000000002</v>
      </c>
      <c r="F547" s="59">
        <f t="shared" si="163"/>
        <v>142586.79999999999</v>
      </c>
      <c r="G547" s="59">
        <f t="shared" si="163"/>
        <v>144770.20000000001</v>
      </c>
    </row>
    <row r="548" spans="1:7" ht="30" x14ac:dyDescent="0.25">
      <c r="A548" s="1" t="s">
        <v>58</v>
      </c>
      <c r="B548" s="15" t="s">
        <v>362</v>
      </c>
      <c r="C548" s="16" t="s">
        <v>372</v>
      </c>
      <c r="D548" s="17">
        <v>600</v>
      </c>
      <c r="E548" s="20">
        <f>138782.6+1057+3027.6+200+1923.5+121.6</f>
        <v>145112.30000000002</v>
      </c>
      <c r="F548" s="20">
        <v>142586.79999999999</v>
      </c>
      <c r="G548" s="20">
        <v>144770.20000000001</v>
      </c>
    </row>
    <row r="549" spans="1:7" ht="45" x14ac:dyDescent="0.25">
      <c r="A549" s="66" t="s">
        <v>508</v>
      </c>
      <c r="B549" s="15" t="s">
        <v>362</v>
      </c>
      <c r="C549" s="16" t="s">
        <v>381</v>
      </c>
      <c r="D549" s="17"/>
      <c r="E549" s="20">
        <f>E550</f>
        <v>376.9</v>
      </c>
      <c r="F549" s="20">
        <f t="shared" ref="F549:G551" si="164">F550</f>
        <v>0</v>
      </c>
      <c r="G549" s="20">
        <f t="shared" si="164"/>
        <v>0</v>
      </c>
    </row>
    <row r="550" spans="1:7" ht="30" x14ac:dyDescent="0.25">
      <c r="A550" s="66" t="s">
        <v>590</v>
      </c>
      <c r="B550" s="15" t="s">
        <v>362</v>
      </c>
      <c r="C550" s="16" t="s">
        <v>592</v>
      </c>
      <c r="D550" s="17"/>
      <c r="E550" s="20">
        <f>E551</f>
        <v>376.9</v>
      </c>
      <c r="F550" s="20">
        <f t="shared" si="164"/>
        <v>0</v>
      </c>
      <c r="G550" s="20">
        <f t="shared" si="164"/>
        <v>0</v>
      </c>
    </row>
    <row r="551" spans="1:7" ht="45" x14ac:dyDescent="0.25">
      <c r="A551" s="66" t="s">
        <v>591</v>
      </c>
      <c r="B551" s="15" t="s">
        <v>362</v>
      </c>
      <c r="C551" s="16" t="s">
        <v>593</v>
      </c>
      <c r="D551" s="17"/>
      <c r="E551" s="20">
        <f>E552</f>
        <v>376.9</v>
      </c>
      <c r="F551" s="20">
        <f t="shared" si="164"/>
        <v>0</v>
      </c>
      <c r="G551" s="20">
        <f t="shared" si="164"/>
        <v>0</v>
      </c>
    </row>
    <row r="552" spans="1:7" ht="19.5" customHeight="1" x14ac:dyDescent="0.25">
      <c r="A552" s="66" t="s">
        <v>22</v>
      </c>
      <c r="B552" s="15" t="s">
        <v>362</v>
      </c>
      <c r="C552" s="16" t="s">
        <v>593</v>
      </c>
      <c r="D552" s="17">
        <v>800</v>
      </c>
      <c r="E552" s="20">
        <v>376.9</v>
      </c>
      <c r="F552" s="20">
        <v>0</v>
      </c>
      <c r="G552" s="20">
        <v>0</v>
      </c>
    </row>
    <row r="553" spans="1:7" x14ac:dyDescent="0.25">
      <c r="A553" s="9" t="s">
        <v>373</v>
      </c>
      <c r="B553" s="10" t="s">
        <v>374</v>
      </c>
      <c r="C553" s="14"/>
      <c r="D553" s="14"/>
      <c r="E553" s="12">
        <f>SUM(E554)</f>
        <v>46891.3</v>
      </c>
      <c r="F553" s="12">
        <f t="shared" ref="F553:G553" si="165">SUM(F554)</f>
        <v>46807.4</v>
      </c>
      <c r="G553" s="12">
        <f t="shared" si="165"/>
        <v>46976.200000000004</v>
      </c>
    </row>
    <row r="554" spans="1:7" ht="30" x14ac:dyDescent="0.25">
      <c r="A554" s="122" t="s">
        <v>540</v>
      </c>
      <c r="B554" s="15" t="s">
        <v>374</v>
      </c>
      <c r="C554" s="126" t="s">
        <v>353</v>
      </c>
      <c r="D554" s="16"/>
      <c r="E554" s="59">
        <f>E555+E560</f>
        <v>46891.3</v>
      </c>
      <c r="F554" s="59">
        <f t="shared" ref="F554:G554" si="166">F555+F560</f>
        <v>46807.4</v>
      </c>
      <c r="G554" s="59">
        <f t="shared" si="166"/>
        <v>46976.200000000004</v>
      </c>
    </row>
    <row r="555" spans="1:7" x14ac:dyDescent="0.25">
      <c r="A555" s="82" t="s">
        <v>375</v>
      </c>
      <c r="B555" s="78" t="s">
        <v>374</v>
      </c>
      <c r="C555" s="78" t="s">
        <v>376</v>
      </c>
      <c r="D555" s="16"/>
      <c r="E555" s="20">
        <f>SUM(E556)</f>
        <v>990.90000000000009</v>
      </c>
      <c r="F555" s="20">
        <f t="shared" ref="F555:G556" si="167">SUM(F556)</f>
        <v>698</v>
      </c>
      <c r="G555" s="20">
        <f t="shared" si="167"/>
        <v>426.9</v>
      </c>
    </row>
    <row r="556" spans="1:7" ht="30" x14ac:dyDescent="0.25">
      <c r="A556" s="82" t="s">
        <v>377</v>
      </c>
      <c r="B556" s="78" t="s">
        <v>374</v>
      </c>
      <c r="C556" s="78" t="s">
        <v>378</v>
      </c>
      <c r="D556" s="16"/>
      <c r="E556" s="20">
        <f>SUM(E557)</f>
        <v>990.90000000000009</v>
      </c>
      <c r="F556" s="20">
        <f t="shared" si="167"/>
        <v>698</v>
      </c>
      <c r="G556" s="20">
        <f t="shared" si="167"/>
        <v>426.9</v>
      </c>
    </row>
    <row r="557" spans="1:7" x14ac:dyDescent="0.25">
      <c r="A557" s="1" t="s">
        <v>379</v>
      </c>
      <c r="B557" s="78" t="s">
        <v>374</v>
      </c>
      <c r="C557" s="78" t="s">
        <v>380</v>
      </c>
      <c r="D557" s="78"/>
      <c r="E557" s="20">
        <f>SUM(E558:E559)</f>
        <v>990.90000000000009</v>
      </c>
      <c r="F557" s="20">
        <f t="shared" ref="F557:G557" si="168">SUM(F558:F559)</f>
        <v>698</v>
      </c>
      <c r="G557" s="20">
        <f t="shared" si="168"/>
        <v>426.9</v>
      </c>
    </row>
    <row r="558" spans="1:7" ht="30" x14ac:dyDescent="0.25">
      <c r="A558" s="1" t="s">
        <v>21</v>
      </c>
      <c r="B558" s="78" t="s">
        <v>374</v>
      </c>
      <c r="C558" s="78" t="s">
        <v>380</v>
      </c>
      <c r="D558" s="16" t="s">
        <v>48</v>
      </c>
      <c r="E558" s="20">
        <f>184.9-27.7+184</f>
        <v>341.20000000000005</v>
      </c>
      <c r="F558" s="20">
        <v>0</v>
      </c>
      <c r="G558" s="20">
        <v>0</v>
      </c>
    </row>
    <row r="559" spans="1:7" ht="30" x14ac:dyDescent="0.25">
      <c r="A559" s="1" t="s">
        <v>58</v>
      </c>
      <c r="B559" s="78" t="s">
        <v>374</v>
      </c>
      <c r="C559" s="78" t="s">
        <v>380</v>
      </c>
      <c r="D559" s="88">
        <v>600</v>
      </c>
      <c r="E559" s="20">
        <f>551.5-184.9+99.3+27.7+156.1</f>
        <v>649.70000000000005</v>
      </c>
      <c r="F559" s="20">
        <v>698</v>
      </c>
      <c r="G559" s="20">
        <v>426.9</v>
      </c>
    </row>
    <row r="560" spans="1:7" ht="45" x14ac:dyDescent="0.25">
      <c r="A560" s="66" t="s">
        <v>508</v>
      </c>
      <c r="B560" s="15" t="s">
        <v>362</v>
      </c>
      <c r="C560" s="16" t="s">
        <v>381</v>
      </c>
      <c r="D560" s="17"/>
      <c r="E560" s="59">
        <f>E561+E568</f>
        <v>45900.4</v>
      </c>
      <c r="F560" s="59">
        <f t="shared" ref="F560:G560" si="169">F561+F568</f>
        <v>46109.4</v>
      </c>
      <c r="G560" s="59">
        <f t="shared" si="169"/>
        <v>46549.3</v>
      </c>
    </row>
    <row r="561" spans="1:7" x14ac:dyDescent="0.25">
      <c r="A561" s="1" t="s">
        <v>382</v>
      </c>
      <c r="B561" s="15" t="s">
        <v>374</v>
      </c>
      <c r="C561" s="16" t="s">
        <v>383</v>
      </c>
      <c r="D561" s="16"/>
      <c r="E561" s="20">
        <f>SUM(E562+E566)</f>
        <v>44484.4</v>
      </c>
      <c r="F561" s="20">
        <f t="shared" ref="F561:G561" si="170">SUM(F562+F566)</f>
        <v>44295.9</v>
      </c>
      <c r="G561" s="20">
        <f t="shared" si="170"/>
        <v>45239.8</v>
      </c>
    </row>
    <row r="562" spans="1:7" ht="30" x14ac:dyDescent="0.25">
      <c r="A562" s="62" t="s">
        <v>42</v>
      </c>
      <c r="B562" s="15" t="s">
        <v>374</v>
      </c>
      <c r="C562" s="16" t="s">
        <v>384</v>
      </c>
      <c r="D562" s="16"/>
      <c r="E562" s="20">
        <f>SUM(E563:E565)</f>
        <v>7735.1</v>
      </c>
      <c r="F562" s="20">
        <f t="shared" ref="F562:G562" si="171">SUM(F563:F565)</f>
        <v>7057.5999999999995</v>
      </c>
      <c r="G562" s="20">
        <f t="shared" si="171"/>
        <v>7069.7999999999993</v>
      </c>
    </row>
    <row r="563" spans="1:7" ht="60" x14ac:dyDescent="0.25">
      <c r="A563" s="1" t="s">
        <v>14</v>
      </c>
      <c r="B563" s="15" t="s">
        <v>374</v>
      </c>
      <c r="C563" s="16" t="s">
        <v>384</v>
      </c>
      <c r="D563" s="16" t="s">
        <v>47</v>
      </c>
      <c r="E563" s="20">
        <f>6590.3+292.3</f>
        <v>6882.6</v>
      </c>
      <c r="F563" s="20">
        <v>6652.4</v>
      </c>
      <c r="G563" s="20">
        <v>6906.7</v>
      </c>
    </row>
    <row r="564" spans="1:7" ht="30" x14ac:dyDescent="0.25">
      <c r="A564" s="1" t="s">
        <v>21</v>
      </c>
      <c r="B564" s="15" t="s">
        <v>374</v>
      </c>
      <c r="C564" s="16" t="s">
        <v>384</v>
      </c>
      <c r="D564" s="16" t="s">
        <v>48</v>
      </c>
      <c r="E564" s="20">
        <f>565.7+285.1</f>
        <v>850.80000000000007</v>
      </c>
      <c r="F564" s="20">
        <v>403.5</v>
      </c>
      <c r="G564" s="20">
        <v>161.4</v>
      </c>
    </row>
    <row r="565" spans="1:7" x14ac:dyDescent="0.25">
      <c r="A565" s="61" t="s">
        <v>22</v>
      </c>
      <c r="B565" s="15" t="s">
        <v>374</v>
      </c>
      <c r="C565" s="16" t="s">
        <v>384</v>
      </c>
      <c r="D565" s="16" t="s">
        <v>385</v>
      </c>
      <c r="E565" s="20">
        <v>1.7</v>
      </c>
      <c r="F565" s="20">
        <v>1.7</v>
      </c>
      <c r="G565" s="20">
        <v>1.7</v>
      </c>
    </row>
    <row r="566" spans="1:7" ht="30" x14ac:dyDescent="0.25">
      <c r="A566" s="61" t="s">
        <v>51</v>
      </c>
      <c r="B566" s="15" t="s">
        <v>374</v>
      </c>
      <c r="C566" s="16" t="s">
        <v>386</v>
      </c>
      <c r="D566" s="16"/>
      <c r="E566" s="20">
        <f>E567</f>
        <v>36749.300000000003</v>
      </c>
      <c r="F566" s="20">
        <f t="shared" ref="F566:G566" si="172">F567</f>
        <v>37238.300000000003</v>
      </c>
      <c r="G566" s="20">
        <f t="shared" si="172"/>
        <v>38170</v>
      </c>
    </row>
    <row r="567" spans="1:7" ht="30" x14ac:dyDescent="0.25">
      <c r="A567" s="1" t="s">
        <v>58</v>
      </c>
      <c r="B567" s="15" t="s">
        <v>374</v>
      </c>
      <c r="C567" s="16" t="s">
        <v>386</v>
      </c>
      <c r="D567" s="16" t="s">
        <v>308</v>
      </c>
      <c r="E567" s="20">
        <f>36444.5+304.8</f>
        <v>36749.300000000003</v>
      </c>
      <c r="F567" s="20">
        <v>37238.300000000003</v>
      </c>
      <c r="G567" s="20">
        <v>38170</v>
      </c>
    </row>
    <row r="568" spans="1:7" ht="30" x14ac:dyDescent="0.25">
      <c r="A568" s="1" t="s">
        <v>387</v>
      </c>
      <c r="B568" s="15" t="s">
        <v>374</v>
      </c>
      <c r="C568" s="16" t="s">
        <v>388</v>
      </c>
      <c r="D568" s="16"/>
      <c r="E568" s="20">
        <f>E569</f>
        <v>1416</v>
      </c>
      <c r="F568" s="20">
        <f t="shared" ref="F568:G568" si="173">F569</f>
        <v>1813.5</v>
      </c>
      <c r="G568" s="20">
        <f t="shared" si="173"/>
        <v>1309.5</v>
      </c>
    </row>
    <row r="569" spans="1:7" ht="30" x14ac:dyDescent="0.25">
      <c r="A569" s="61" t="s">
        <v>389</v>
      </c>
      <c r="B569" s="15" t="s">
        <v>374</v>
      </c>
      <c r="C569" s="16" t="s">
        <v>390</v>
      </c>
      <c r="D569" s="17"/>
      <c r="E569" s="20">
        <f>SUM(E570:E571)</f>
        <v>1416</v>
      </c>
      <c r="F569" s="20">
        <f t="shared" ref="F569:G569" si="174">SUM(F570:F571)</f>
        <v>1813.5</v>
      </c>
      <c r="G569" s="20">
        <f t="shared" si="174"/>
        <v>1309.5</v>
      </c>
    </row>
    <row r="570" spans="1:7" x14ac:dyDescent="0.25">
      <c r="A570" s="1" t="s">
        <v>29</v>
      </c>
      <c r="B570" s="15" t="s">
        <v>374</v>
      </c>
      <c r="C570" s="16" t="s">
        <v>390</v>
      </c>
      <c r="D570" s="17">
        <v>300</v>
      </c>
      <c r="E570" s="20">
        <v>516</v>
      </c>
      <c r="F570" s="20">
        <v>516</v>
      </c>
      <c r="G570" s="20">
        <v>516</v>
      </c>
    </row>
    <row r="571" spans="1:7" ht="30" x14ac:dyDescent="0.25">
      <c r="A571" s="1" t="s">
        <v>58</v>
      </c>
      <c r="B571" s="15" t="s">
        <v>374</v>
      </c>
      <c r="C571" s="16" t="s">
        <v>390</v>
      </c>
      <c r="D571" s="17">
        <v>600</v>
      </c>
      <c r="E571" s="20">
        <f>1025.2-200+74.8</f>
        <v>900</v>
      </c>
      <c r="F571" s="20">
        <v>1297.5</v>
      </c>
      <c r="G571" s="20">
        <v>793.5</v>
      </c>
    </row>
    <row r="572" spans="1:7" x14ac:dyDescent="0.25">
      <c r="A572" s="9" t="s">
        <v>30</v>
      </c>
      <c r="B572" s="10" t="s">
        <v>31</v>
      </c>
      <c r="C572" s="14"/>
      <c r="D572" s="11"/>
      <c r="E572" s="12">
        <f>SUM(E573+E577)+E598</f>
        <v>234857</v>
      </c>
      <c r="F572" s="12">
        <f>SUM(F573+F577)+F598</f>
        <v>226400.9</v>
      </c>
      <c r="G572" s="12">
        <f>SUM(G573+G577)+G598</f>
        <v>227307.3</v>
      </c>
    </row>
    <row r="573" spans="1:7" x14ac:dyDescent="0.25">
      <c r="A573" s="9" t="s">
        <v>176</v>
      </c>
      <c r="B573" s="10" t="s">
        <v>177</v>
      </c>
      <c r="C573" s="14"/>
      <c r="D573" s="11"/>
      <c r="E573" s="12">
        <f>E574</f>
        <v>9235.4</v>
      </c>
      <c r="F573" s="12">
        <f t="shared" ref="F573:G575" si="175">F574</f>
        <v>9235.4</v>
      </c>
      <c r="G573" s="12">
        <f t="shared" si="175"/>
        <v>9235.4</v>
      </c>
    </row>
    <row r="574" spans="1:7" x14ac:dyDescent="0.25">
      <c r="A574" s="1" t="s">
        <v>10</v>
      </c>
      <c r="B574" s="15" t="s">
        <v>177</v>
      </c>
      <c r="C574" s="16" t="s">
        <v>11</v>
      </c>
      <c r="D574" s="17"/>
      <c r="E574" s="59">
        <f>E575</f>
        <v>9235.4</v>
      </c>
      <c r="F574" s="59">
        <f t="shared" si="175"/>
        <v>9235.4</v>
      </c>
      <c r="G574" s="59">
        <f t="shared" si="175"/>
        <v>9235.4</v>
      </c>
    </row>
    <row r="575" spans="1:7" x14ac:dyDescent="0.25">
      <c r="A575" s="1" t="s">
        <v>178</v>
      </c>
      <c r="B575" s="15" t="s">
        <v>177</v>
      </c>
      <c r="C575" s="16" t="s">
        <v>179</v>
      </c>
      <c r="D575" s="17"/>
      <c r="E575" s="59">
        <f>E576</f>
        <v>9235.4</v>
      </c>
      <c r="F575" s="59">
        <f t="shared" si="175"/>
        <v>9235.4</v>
      </c>
      <c r="G575" s="59">
        <f t="shared" si="175"/>
        <v>9235.4</v>
      </c>
    </row>
    <row r="576" spans="1:7" x14ac:dyDescent="0.25">
      <c r="A576" s="1" t="s">
        <v>29</v>
      </c>
      <c r="B576" s="15" t="s">
        <v>177</v>
      </c>
      <c r="C576" s="16" t="s">
        <v>179</v>
      </c>
      <c r="D576" s="17">
        <v>300</v>
      </c>
      <c r="E576" s="60">
        <v>9235.4</v>
      </c>
      <c r="F576" s="60">
        <v>9235.4</v>
      </c>
      <c r="G576" s="20">
        <v>9235.4</v>
      </c>
    </row>
    <row r="577" spans="1:7" x14ac:dyDescent="0.25">
      <c r="A577" s="9" t="s">
        <v>32</v>
      </c>
      <c r="B577" s="10" t="s">
        <v>33</v>
      </c>
      <c r="C577" s="14"/>
      <c r="D577" s="11"/>
      <c r="E577" s="12">
        <f>SUM(E578)+E589</f>
        <v>12110.8</v>
      </c>
      <c r="F577" s="12">
        <f>SUM(F578)+F589</f>
        <v>7479.7</v>
      </c>
      <c r="G577" s="12">
        <f>SUM(G578)+G589</f>
        <v>7145.0999999999995</v>
      </c>
    </row>
    <row r="578" spans="1:7" x14ac:dyDescent="0.25">
      <c r="A578" s="1" t="s">
        <v>10</v>
      </c>
      <c r="B578" s="15" t="s">
        <v>33</v>
      </c>
      <c r="C578" s="16" t="s">
        <v>11</v>
      </c>
      <c r="D578" s="17"/>
      <c r="E578" s="59">
        <f>E579+E581+E583+E585+E587</f>
        <v>6988.3</v>
      </c>
      <c r="F578" s="59">
        <f t="shared" ref="F578:G578" si="176">F579+F581+F583+F585+F587</f>
        <v>6479.7</v>
      </c>
      <c r="G578" s="59">
        <f t="shared" si="176"/>
        <v>6145.0999999999995</v>
      </c>
    </row>
    <row r="579" spans="1:7" ht="30" x14ac:dyDescent="0.25">
      <c r="A579" s="1" t="s">
        <v>180</v>
      </c>
      <c r="B579" s="15" t="s">
        <v>33</v>
      </c>
      <c r="C579" s="16" t="s">
        <v>181</v>
      </c>
      <c r="D579" s="17"/>
      <c r="E579" s="59">
        <f>E580</f>
        <v>1677.2</v>
      </c>
      <c r="F579" s="59">
        <f>F580</f>
        <v>1845.2</v>
      </c>
      <c r="G579" s="59">
        <f>G580</f>
        <v>2013.2</v>
      </c>
    </row>
    <row r="580" spans="1:7" x14ac:dyDescent="0.25">
      <c r="A580" s="1" t="s">
        <v>29</v>
      </c>
      <c r="B580" s="15" t="s">
        <v>33</v>
      </c>
      <c r="C580" s="16" t="s">
        <v>181</v>
      </c>
      <c r="D580" s="17">
        <v>300</v>
      </c>
      <c r="E580" s="60">
        <v>1677.2</v>
      </c>
      <c r="F580" s="60">
        <v>1845.2</v>
      </c>
      <c r="G580" s="20">
        <v>2013.2</v>
      </c>
    </row>
    <row r="581" spans="1:7" ht="30" x14ac:dyDescent="0.25">
      <c r="A581" s="1" t="s">
        <v>182</v>
      </c>
      <c r="B581" s="15" t="s">
        <v>33</v>
      </c>
      <c r="C581" s="16" t="s">
        <v>183</v>
      </c>
      <c r="D581" s="17"/>
      <c r="E581" s="59">
        <f>E582</f>
        <v>2982.8</v>
      </c>
      <c r="F581" s="59">
        <f>F582</f>
        <v>2017.3</v>
      </c>
      <c r="G581" s="59">
        <f>G582</f>
        <v>2419.6</v>
      </c>
    </row>
    <row r="582" spans="1:7" x14ac:dyDescent="0.25">
      <c r="A582" s="1" t="s">
        <v>29</v>
      </c>
      <c r="B582" s="15" t="s">
        <v>33</v>
      </c>
      <c r="C582" s="16" t="s">
        <v>183</v>
      </c>
      <c r="D582" s="17">
        <v>300</v>
      </c>
      <c r="E582" s="60">
        <f>2017.3+965.5</f>
        <v>2982.8</v>
      </c>
      <c r="F582" s="60">
        <v>2017.3</v>
      </c>
      <c r="G582" s="20">
        <v>2419.6</v>
      </c>
    </row>
    <row r="583" spans="1:7" ht="30" x14ac:dyDescent="0.25">
      <c r="A583" s="122" t="s">
        <v>34</v>
      </c>
      <c r="B583" s="15" t="s">
        <v>33</v>
      </c>
      <c r="C583" s="16" t="s">
        <v>35</v>
      </c>
      <c r="D583" s="17"/>
      <c r="E583" s="59">
        <f>E584</f>
        <v>287.5</v>
      </c>
      <c r="F583" s="59">
        <f>F584</f>
        <v>287.5</v>
      </c>
      <c r="G583" s="59">
        <f>G584</f>
        <v>287.5</v>
      </c>
    </row>
    <row r="584" spans="1:7" x14ac:dyDescent="0.25">
      <c r="A584" s="1" t="s">
        <v>29</v>
      </c>
      <c r="B584" s="15" t="s">
        <v>33</v>
      </c>
      <c r="C584" s="16" t="s">
        <v>35</v>
      </c>
      <c r="D584" s="17">
        <v>300</v>
      </c>
      <c r="E584" s="60">
        <v>287.5</v>
      </c>
      <c r="F584" s="60">
        <v>287.5</v>
      </c>
      <c r="G584" s="20">
        <v>287.5</v>
      </c>
    </row>
    <row r="585" spans="1:7" x14ac:dyDescent="0.25">
      <c r="A585" s="1" t="s">
        <v>184</v>
      </c>
      <c r="B585" s="15" t="s">
        <v>33</v>
      </c>
      <c r="C585" s="16" t="s">
        <v>185</v>
      </c>
      <c r="D585" s="17"/>
      <c r="E585" s="59">
        <f>E586</f>
        <v>936.3</v>
      </c>
      <c r="F585" s="59">
        <f>F586</f>
        <v>931.9</v>
      </c>
      <c r="G585" s="59">
        <f>G586</f>
        <v>569.9</v>
      </c>
    </row>
    <row r="586" spans="1:7" ht="30" x14ac:dyDescent="0.25">
      <c r="A586" s="1" t="s">
        <v>58</v>
      </c>
      <c r="B586" s="15" t="s">
        <v>33</v>
      </c>
      <c r="C586" s="16" t="s">
        <v>185</v>
      </c>
      <c r="D586" s="17">
        <v>600</v>
      </c>
      <c r="E586" s="60">
        <f>736.3+100+100</f>
        <v>936.3</v>
      </c>
      <c r="F586" s="60">
        <v>931.9</v>
      </c>
      <c r="G586" s="20">
        <v>569.9</v>
      </c>
    </row>
    <row r="587" spans="1:7" x14ac:dyDescent="0.25">
      <c r="A587" s="1" t="s">
        <v>186</v>
      </c>
      <c r="B587" s="15" t="s">
        <v>33</v>
      </c>
      <c r="C587" s="16" t="s">
        <v>187</v>
      </c>
      <c r="D587" s="17"/>
      <c r="E587" s="59">
        <f>E588</f>
        <v>1104.5</v>
      </c>
      <c r="F587" s="59">
        <f>F588</f>
        <v>1397.8</v>
      </c>
      <c r="G587" s="59">
        <f>G588</f>
        <v>854.9</v>
      </c>
    </row>
    <row r="588" spans="1:7" ht="30" x14ac:dyDescent="0.25">
      <c r="A588" s="1" t="s">
        <v>58</v>
      </c>
      <c r="B588" s="15" t="s">
        <v>33</v>
      </c>
      <c r="C588" s="16" t="s">
        <v>187</v>
      </c>
      <c r="D588" s="17">
        <v>600</v>
      </c>
      <c r="E588" s="60">
        <v>1104.5</v>
      </c>
      <c r="F588" s="60">
        <v>1397.8</v>
      </c>
      <c r="G588" s="20">
        <v>854.9</v>
      </c>
    </row>
    <row r="589" spans="1:7" ht="30" x14ac:dyDescent="0.25">
      <c r="A589" s="79" t="s">
        <v>525</v>
      </c>
      <c r="B589" s="81" t="s">
        <v>33</v>
      </c>
      <c r="C589" s="81" t="s">
        <v>241</v>
      </c>
      <c r="D589" s="88"/>
      <c r="E589" s="20">
        <f>E590+E594</f>
        <v>5122.5</v>
      </c>
      <c r="F589" s="20">
        <f>F590+F594</f>
        <v>1000</v>
      </c>
      <c r="G589" s="20">
        <f>G590+G594</f>
        <v>1000</v>
      </c>
    </row>
    <row r="590" spans="1:7" ht="30" x14ac:dyDescent="0.25">
      <c r="A590" s="80" t="s">
        <v>408</v>
      </c>
      <c r="B590" s="81" t="s">
        <v>33</v>
      </c>
      <c r="C590" s="81" t="s">
        <v>409</v>
      </c>
      <c r="D590" s="88"/>
      <c r="E590" s="20">
        <f>E591</f>
        <v>544.4</v>
      </c>
      <c r="F590" s="20">
        <f t="shared" ref="F590:G592" si="177">F591</f>
        <v>500</v>
      </c>
      <c r="G590" s="20">
        <f t="shared" si="177"/>
        <v>500</v>
      </c>
    </row>
    <row r="591" spans="1:7" ht="30" x14ac:dyDescent="0.25">
      <c r="A591" s="80" t="s">
        <v>410</v>
      </c>
      <c r="B591" s="81" t="s">
        <v>33</v>
      </c>
      <c r="C591" s="81" t="s">
        <v>411</v>
      </c>
      <c r="D591" s="88"/>
      <c r="E591" s="20">
        <f>E592</f>
        <v>544.4</v>
      </c>
      <c r="F591" s="20">
        <f t="shared" si="177"/>
        <v>500</v>
      </c>
      <c r="G591" s="20">
        <f t="shared" si="177"/>
        <v>500</v>
      </c>
    </row>
    <row r="592" spans="1:7" ht="45" x14ac:dyDescent="0.25">
      <c r="A592" s="80" t="s">
        <v>412</v>
      </c>
      <c r="B592" s="81" t="s">
        <v>413</v>
      </c>
      <c r="C592" s="81" t="s">
        <v>414</v>
      </c>
      <c r="D592" s="88"/>
      <c r="E592" s="20">
        <f>E593</f>
        <v>544.4</v>
      </c>
      <c r="F592" s="20">
        <f t="shared" si="177"/>
        <v>500</v>
      </c>
      <c r="G592" s="20">
        <f t="shared" si="177"/>
        <v>500</v>
      </c>
    </row>
    <row r="593" spans="1:7" x14ac:dyDescent="0.25">
      <c r="A593" s="1" t="s">
        <v>29</v>
      </c>
      <c r="B593" s="81" t="s">
        <v>413</v>
      </c>
      <c r="C593" s="81" t="s">
        <v>414</v>
      </c>
      <c r="D593" s="88">
        <v>300</v>
      </c>
      <c r="E593" s="20">
        <f>342.5+157.5+44.4</f>
        <v>544.4</v>
      </c>
      <c r="F593" s="20">
        <v>500</v>
      </c>
      <c r="G593" s="20">
        <v>500</v>
      </c>
    </row>
    <row r="594" spans="1:7" x14ac:dyDescent="0.25">
      <c r="A594" s="80" t="s">
        <v>415</v>
      </c>
      <c r="B594" s="81" t="s">
        <v>33</v>
      </c>
      <c r="C594" s="81" t="s">
        <v>416</v>
      </c>
      <c r="D594" s="88"/>
      <c r="E594" s="20">
        <f>E595</f>
        <v>4578.1000000000004</v>
      </c>
      <c r="F594" s="20">
        <f t="shared" ref="F594:G594" si="178">F595</f>
        <v>500</v>
      </c>
      <c r="G594" s="20">
        <f t="shared" si="178"/>
        <v>500</v>
      </c>
    </row>
    <row r="595" spans="1:7" ht="45" x14ac:dyDescent="0.25">
      <c r="A595" s="79" t="s">
        <v>484</v>
      </c>
      <c r="B595" s="81" t="s">
        <v>33</v>
      </c>
      <c r="C595" s="81" t="s">
        <v>417</v>
      </c>
      <c r="D595" s="88"/>
      <c r="E595" s="20">
        <f>E596</f>
        <v>4578.1000000000004</v>
      </c>
      <c r="F595" s="20">
        <f t="shared" ref="F595:G595" si="179">F596</f>
        <v>500</v>
      </c>
      <c r="G595" s="20">
        <f t="shared" si="179"/>
        <v>500</v>
      </c>
    </row>
    <row r="596" spans="1:7" x14ac:dyDescent="0.25">
      <c r="A596" s="79" t="s">
        <v>485</v>
      </c>
      <c r="B596" s="91" t="s">
        <v>33</v>
      </c>
      <c r="C596" s="91" t="s">
        <v>475</v>
      </c>
      <c r="D596" s="92"/>
      <c r="E596" s="20">
        <f>E597</f>
        <v>4578.1000000000004</v>
      </c>
      <c r="F596" s="20">
        <f t="shared" ref="F596:G596" si="180">F597</f>
        <v>500</v>
      </c>
      <c r="G596" s="20">
        <f t="shared" si="180"/>
        <v>500</v>
      </c>
    </row>
    <row r="597" spans="1:7" x14ac:dyDescent="0.25">
      <c r="A597" s="66" t="s">
        <v>29</v>
      </c>
      <c r="B597" s="91" t="s">
        <v>33</v>
      </c>
      <c r="C597" s="91" t="s">
        <v>475</v>
      </c>
      <c r="D597" s="92">
        <v>300</v>
      </c>
      <c r="E597" s="20">
        <f>342.5+157.5+4078.1</f>
        <v>4578.1000000000004</v>
      </c>
      <c r="F597" s="20">
        <v>500</v>
      </c>
      <c r="G597" s="20">
        <v>500</v>
      </c>
    </row>
    <row r="598" spans="1:7" x14ac:dyDescent="0.25">
      <c r="A598" s="85" t="s">
        <v>346</v>
      </c>
      <c r="B598" s="24" t="s">
        <v>347</v>
      </c>
      <c r="C598" s="24"/>
      <c r="D598" s="24"/>
      <c r="E598" s="12">
        <f>E599+E603</f>
        <v>213510.80000000002</v>
      </c>
      <c r="F598" s="12">
        <f t="shared" ref="F598:G598" si="181">F599+F603</f>
        <v>209685.8</v>
      </c>
      <c r="G598" s="12">
        <f t="shared" si="181"/>
        <v>210926.8</v>
      </c>
    </row>
    <row r="599" spans="1:7" x14ac:dyDescent="0.25">
      <c r="A599" s="1" t="s">
        <v>10</v>
      </c>
      <c r="B599" s="21" t="s">
        <v>347</v>
      </c>
      <c r="C599" s="16" t="s">
        <v>11</v>
      </c>
      <c r="D599" s="21"/>
      <c r="E599" s="59">
        <f>SUM(E600)</f>
        <v>45860.1</v>
      </c>
      <c r="F599" s="59">
        <f t="shared" ref="F599:G599" si="182">SUM(F600)</f>
        <v>35277</v>
      </c>
      <c r="G599" s="59">
        <f t="shared" si="182"/>
        <v>35277</v>
      </c>
    </row>
    <row r="600" spans="1:7" x14ac:dyDescent="0.25">
      <c r="A600" s="61" t="s">
        <v>44</v>
      </c>
      <c r="B600" s="21" t="s">
        <v>347</v>
      </c>
      <c r="C600" s="16" t="s">
        <v>45</v>
      </c>
      <c r="D600" s="21"/>
      <c r="E600" s="59">
        <f>E601</f>
        <v>45860.1</v>
      </c>
      <c r="F600" s="59">
        <f t="shared" ref="F600:G600" si="183">F601</f>
        <v>35277</v>
      </c>
      <c r="G600" s="59">
        <f t="shared" si="183"/>
        <v>35277</v>
      </c>
    </row>
    <row r="601" spans="1:7" ht="45" x14ac:dyDescent="0.25">
      <c r="A601" s="98" t="s">
        <v>509</v>
      </c>
      <c r="B601" s="21" t="s">
        <v>347</v>
      </c>
      <c r="C601" s="16" t="s">
        <v>418</v>
      </c>
      <c r="D601" s="21"/>
      <c r="E601" s="59">
        <f>SUM(E602)</f>
        <v>45860.1</v>
      </c>
      <c r="F601" s="59">
        <f t="shared" ref="F601:G601" si="184">SUM(F602)</f>
        <v>35277</v>
      </c>
      <c r="G601" s="59">
        <f t="shared" si="184"/>
        <v>35277</v>
      </c>
    </row>
    <row r="602" spans="1:7" ht="30" x14ac:dyDescent="0.25">
      <c r="A602" s="82" t="s">
        <v>78</v>
      </c>
      <c r="B602" s="21" t="s">
        <v>347</v>
      </c>
      <c r="C602" s="16" t="s">
        <v>418</v>
      </c>
      <c r="D602" s="21" t="s">
        <v>419</v>
      </c>
      <c r="E602" s="20">
        <f>37040.9+3527.7+5291.5</f>
        <v>45860.1</v>
      </c>
      <c r="F602" s="20">
        <f>37040.9-1763.9</f>
        <v>35277</v>
      </c>
      <c r="G602" s="20">
        <f>37040.9-1763.9</f>
        <v>35277</v>
      </c>
    </row>
    <row r="603" spans="1:7" ht="30" x14ac:dyDescent="0.25">
      <c r="A603" s="66" t="s">
        <v>537</v>
      </c>
      <c r="B603" s="15" t="s">
        <v>347</v>
      </c>
      <c r="C603" s="16" t="s">
        <v>302</v>
      </c>
      <c r="D603" s="15"/>
      <c r="E603" s="20">
        <f>E604+E608</f>
        <v>167650.70000000001</v>
      </c>
      <c r="F603" s="20">
        <f t="shared" ref="F603:G603" si="185">F604+F608</f>
        <v>174408.8</v>
      </c>
      <c r="G603" s="20">
        <f t="shared" si="185"/>
        <v>175649.8</v>
      </c>
    </row>
    <row r="604" spans="1:7" ht="30" x14ac:dyDescent="0.25">
      <c r="A604" s="61" t="s">
        <v>303</v>
      </c>
      <c r="B604" s="15" t="s">
        <v>347</v>
      </c>
      <c r="C604" s="16" t="s">
        <v>304</v>
      </c>
      <c r="D604" s="15"/>
      <c r="E604" s="20">
        <f>E605</f>
        <v>114970.7</v>
      </c>
      <c r="F604" s="20">
        <f t="shared" ref="F604:G604" si="186">F605</f>
        <v>118818.6</v>
      </c>
      <c r="G604" s="20">
        <f t="shared" si="186"/>
        <v>118818.6</v>
      </c>
    </row>
    <row r="605" spans="1:7" ht="45" x14ac:dyDescent="0.25">
      <c r="A605" s="61" t="s">
        <v>305</v>
      </c>
      <c r="B605" s="15" t="s">
        <v>347</v>
      </c>
      <c r="C605" s="16" t="s">
        <v>306</v>
      </c>
      <c r="D605" s="15"/>
      <c r="E605" s="20">
        <f>E606</f>
        <v>114970.7</v>
      </c>
      <c r="F605" s="20">
        <f t="shared" ref="F605:G606" si="187">F606</f>
        <v>118818.6</v>
      </c>
      <c r="G605" s="20">
        <f t="shared" si="187"/>
        <v>118818.6</v>
      </c>
    </row>
    <row r="606" spans="1:7" ht="90" x14ac:dyDescent="0.25">
      <c r="A606" s="63" t="s">
        <v>510</v>
      </c>
      <c r="B606" s="15" t="s">
        <v>347</v>
      </c>
      <c r="C606" s="16" t="s">
        <v>348</v>
      </c>
      <c r="D606" s="17"/>
      <c r="E606" s="20">
        <f>E607</f>
        <v>114970.7</v>
      </c>
      <c r="F606" s="20">
        <f t="shared" si="187"/>
        <v>118818.6</v>
      </c>
      <c r="G606" s="20">
        <f t="shared" si="187"/>
        <v>118818.6</v>
      </c>
    </row>
    <row r="607" spans="1:7" ht="30" x14ac:dyDescent="0.25">
      <c r="A607" s="1" t="s">
        <v>58</v>
      </c>
      <c r="B607" s="15" t="s">
        <v>347</v>
      </c>
      <c r="C607" s="16" t="s">
        <v>348</v>
      </c>
      <c r="D607" s="17">
        <v>600</v>
      </c>
      <c r="E607" s="20">
        <f>110348.5+4622.2</f>
        <v>114970.7</v>
      </c>
      <c r="F607" s="20">
        <f>110552.8+8265.8</f>
        <v>118818.6</v>
      </c>
      <c r="G607" s="20">
        <f>110552.8+8265.8</f>
        <v>118818.6</v>
      </c>
    </row>
    <row r="608" spans="1:7" x14ac:dyDescent="0.25">
      <c r="A608" s="61" t="s">
        <v>329</v>
      </c>
      <c r="B608" s="15" t="s">
        <v>347</v>
      </c>
      <c r="C608" s="16" t="s">
        <v>330</v>
      </c>
      <c r="D608" s="15"/>
      <c r="E608" s="102">
        <f>E609</f>
        <v>52680</v>
      </c>
      <c r="F608" s="102">
        <f t="shared" ref="F608:G608" si="188">F609</f>
        <v>55590.2</v>
      </c>
      <c r="G608" s="102">
        <f t="shared" si="188"/>
        <v>56831.199999999997</v>
      </c>
    </row>
    <row r="609" spans="1:7" ht="30" x14ac:dyDescent="0.25">
      <c r="A609" s="89" t="s">
        <v>339</v>
      </c>
      <c r="B609" s="15" t="s">
        <v>347</v>
      </c>
      <c r="C609" s="16" t="s">
        <v>340</v>
      </c>
      <c r="D609" s="15"/>
      <c r="E609" s="102">
        <f>E610+E613+E616</f>
        <v>52680</v>
      </c>
      <c r="F609" s="102">
        <f t="shared" ref="F609:G609" si="189">F610+F613+F616</f>
        <v>55590.2</v>
      </c>
      <c r="G609" s="102">
        <f t="shared" si="189"/>
        <v>56831.199999999997</v>
      </c>
    </row>
    <row r="610" spans="1:7" ht="90" x14ac:dyDescent="0.25">
      <c r="A610" s="90" t="s">
        <v>349</v>
      </c>
      <c r="B610" s="15" t="s">
        <v>347</v>
      </c>
      <c r="C610" s="16" t="s">
        <v>350</v>
      </c>
      <c r="D610" s="17"/>
      <c r="E610" s="102">
        <f>SUM(E611:E612)</f>
        <v>305.39999999999998</v>
      </c>
      <c r="F610" s="102">
        <f t="shared" ref="F610:G610" si="190">SUM(F611:F612)</f>
        <v>253.5</v>
      </c>
      <c r="G610" s="102">
        <f t="shared" si="190"/>
        <v>253.5</v>
      </c>
    </row>
    <row r="611" spans="1:7" ht="30" x14ac:dyDescent="0.25">
      <c r="A611" s="1" t="s">
        <v>21</v>
      </c>
      <c r="B611" s="15" t="s">
        <v>347</v>
      </c>
      <c r="C611" s="16" t="s">
        <v>350</v>
      </c>
      <c r="D611" s="17">
        <v>200</v>
      </c>
      <c r="E611" s="20">
        <v>5</v>
      </c>
      <c r="F611" s="20">
        <v>5</v>
      </c>
      <c r="G611" s="20">
        <v>5</v>
      </c>
    </row>
    <row r="612" spans="1:7" x14ac:dyDescent="0.25">
      <c r="A612" s="1" t="s">
        <v>29</v>
      </c>
      <c r="B612" s="15" t="s">
        <v>347</v>
      </c>
      <c r="C612" s="16" t="s">
        <v>350</v>
      </c>
      <c r="D612" s="17">
        <v>300</v>
      </c>
      <c r="E612" s="20">
        <f>235.6+64.8</f>
        <v>300.39999999999998</v>
      </c>
      <c r="F612" s="20">
        <f>235.6+12.9</f>
        <v>248.5</v>
      </c>
      <c r="G612" s="20">
        <f>235.6+12.9</f>
        <v>248.5</v>
      </c>
    </row>
    <row r="613" spans="1:7" ht="90" x14ac:dyDescent="0.25">
      <c r="A613" s="90" t="s">
        <v>512</v>
      </c>
      <c r="B613" s="15" t="s">
        <v>347</v>
      </c>
      <c r="C613" s="16" t="s">
        <v>351</v>
      </c>
      <c r="D613" s="17"/>
      <c r="E613" s="102">
        <f>SUM(E614:E615)</f>
        <v>51061.1</v>
      </c>
      <c r="F613" s="102">
        <f t="shared" ref="F613:G613" si="191">SUM(F614:F615)</f>
        <v>52725.599999999999</v>
      </c>
      <c r="G613" s="102">
        <f t="shared" si="191"/>
        <v>52725.599999999999</v>
      </c>
    </row>
    <row r="614" spans="1:7" ht="30" x14ac:dyDescent="0.25">
      <c r="A614" s="1" t="s">
        <v>21</v>
      </c>
      <c r="B614" s="15" t="s">
        <v>347</v>
      </c>
      <c r="C614" s="16" t="s">
        <v>351</v>
      </c>
      <c r="D614" s="17">
        <v>200</v>
      </c>
      <c r="E614" s="20">
        <f>7900.6-7700.6</f>
        <v>200</v>
      </c>
      <c r="F614" s="20">
        <v>7900.6</v>
      </c>
      <c r="G614" s="20">
        <v>7900.6</v>
      </c>
    </row>
    <row r="615" spans="1:7" x14ac:dyDescent="0.25">
      <c r="A615" s="1" t="s">
        <v>29</v>
      </c>
      <c r="B615" s="15" t="s">
        <v>347</v>
      </c>
      <c r="C615" s="16" t="s">
        <v>351</v>
      </c>
      <c r="D615" s="17">
        <v>300</v>
      </c>
      <c r="E615" s="20">
        <f>46360.9-3200.4+7700.6</f>
        <v>50861.1</v>
      </c>
      <c r="F615" s="20">
        <f>46360.9-1535.9</f>
        <v>44825</v>
      </c>
      <c r="G615" s="20">
        <f>46360.9-1535.9</f>
        <v>44825</v>
      </c>
    </row>
    <row r="616" spans="1:7" ht="75" x14ac:dyDescent="0.25">
      <c r="A616" s="90" t="s">
        <v>511</v>
      </c>
      <c r="B616" s="15" t="s">
        <v>347</v>
      </c>
      <c r="C616" s="16" t="s">
        <v>352</v>
      </c>
      <c r="D616" s="17"/>
      <c r="E616" s="102">
        <f>SUM(E617:E618)</f>
        <v>1313.5000000000005</v>
      </c>
      <c r="F616" s="102">
        <f t="shared" ref="F616:G616" si="192">SUM(F617:F618)</f>
        <v>2611.1000000000004</v>
      </c>
      <c r="G616" s="102">
        <f t="shared" si="192"/>
        <v>3852.1000000000004</v>
      </c>
    </row>
    <row r="617" spans="1:7" ht="30" x14ac:dyDescent="0.25">
      <c r="A617" s="1" t="s">
        <v>21</v>
      </c>
      <c r="B617" s="15" t="s">
        <v>347</v>
      </c>
      <c r="C617" s="16" t="s">
        <v>352</v>
      </c>
      <c r="D617" s="17">
        <v>200</v>
      </c>
      <c r="E617" s="20">
        <f>20-13.5</f>
        <v>6.5</v>
      </c>
      <c r="F617" s="20">
        <v>20</v>
      </c>
      <c r="G617" s="20">
        <v>20</v>
      </c>
    </row>
    <row r="618" spans="1:7" x14ac:dyDescent="0.25">
      <c r="A618" s="1" t="s">
        <v>29</v>
      </c>
      <c r="B618" s="15" t="s">
        <v>347</v>
      </c>
      <c r="C618" s="16" t="s">
        <v>352</v>
      </c>
      <c r="D618" s="17">
        <v>300</v>
      </c>
      <c r="E618" s="20">
        <f>5329.1-4035.6+13.5</f>
        <v>1307.0000000000005</v>
      </c>
      <c r="F618" s="20">
        <f>5329.1-2738</f>
        <v>2591.1000000000004</v>
      </c>
      <c r="G618" s="20">
        <f>5329.1-1497</f>
        <v>3832.1000000000004</v>
      </c>
    </row>
    <row r="619" spans="1:7" x14ac:dyDescent="0.25">
      <c r="A619" s="9" t="s">
        <v>188</v>
      </c>
      <c r="B619" s="10" t="s">
        <v>189</v>
      </c>
      <c r="C619" s="14"/>
      <c r="D619" s="11"/>
      <c r="E619" s="12">
        <f>SUM(E620+E625)</f>
        <v>33092.1</v>
      </c>
      <c r="F619" s="12">
        <f>SUM(F620+F625)</f>
        <v>30856.899999999998</v>
      </c>
      <c r="G619" s="12">
        <f>SUM(G620+G625)</f>
        <v>26352.1</v>
      </c>
    </row>
    <row r="620" spans="1:7" x14ac:dyDescent="0.25">
      <c r="A620" s="9" t="s">
        <v>190</v>
      </c>
      <c r="B620" s="10" t="s">
        <v>191</v>
      </c>
      <c r="C620" s="14"/>
      <c r="D620" s="11"/>
      <c r="E620" s="12">
        <f>E621</f>
        <v>19546.5</v>
      </c>
      <c r="F620" s="12">
        <f t="shared" ref="F620:G621" si="193">F621</f>
        <v>20268.599999999999</v>
      </c>
      <c r="G620" s="12">
        <f t="shared" si="193"/>
        <v>19876.7</v>
      </c>
    </row>
    <row r="621" spans="1:7" ht="30" x14ac:dyDescent="0.25">
      <c r="A621" s="66" t="s">
        <v>543</v>
      </c>
      <c r="B621" s="15" t="s">
        <v>191</v>
      </c>
      <c r="C621" s="16" t="s">
        <v>192</v>
      </c>
      <c r="D621" s="17"/>
      <c r="E621" s="20">
        <f>E622</f>
        <v>19546.5</v>
      </c>
      <c r="F621" s="20">
        <f t="shared" si="193"/>
        <v>20268.599999999999</v>
      </c>
      <c r="G621" s="20">
        <f t="shared" si="193"/>
        <v>19876.7</v>
      </c>
    </row>
    <row r="622" spans="1:7" ht="30" x14ac:dyDescent="0.25">
      <c r="A622" s="1" t="s">
        <v>193</v>
      </c>
      <c r="B622" s="15" t="s">
        <v>191</v>
      </c>
      <c r="C622" s="16" t="s">
        <v>194</v>
      </c>
      <c r="D622" s="17"/>
      <c r="E622" s="20">
        <f>E623</f>
        <v>19546.5</v>
      </c>
      <c r="F622" s="20">
        <f t="shared" ref="F622:G623" si="194">F623</f>
        <v>20268.599999999999</v>
      </c>
      <c r="G622" s="20">
        <f t="shared" si="194"/>
        <v>19876.7</v>
      </c>
    </row>
    <row r="623" spans="1:7" ht="30" x14ac:dyDescent="0.25">
      <c r="A623" s="1" t="s">
        <v>57</v>
      </c>
      <c r="B623" s="15" t="s">
        <v>191</v>
      </c>
      <c r="C623" s="16" t="s">
        <v>195</v>
      </c>
      <c r="D623" s="17"/>
      <c r="E623" s="20">
        <f>E624</f>
        <v>19546.5</v>
      </c>
      <c r="F623" s="20">
        <f t="shared" si="194"/>
        <v>20268.599999999999</v>
      </c>
      <c r="G623" s="20">
        <f t="shared" si="194"/>
        <v>19876.7</v>
      </c>
    </row>
    <row r="624" spans="1:7" ht="30" x14ac:dyDescent="0.25">
      <c r="A624" s="1" t="s">
        <v>58</v>
      </c>
      <c r="B624" s="15" t="s">
        <v>191</v>
      </c>
      <c r="C624" s="16" t="s">
        <v>195</v>
      </c>
      <c r="D624" s="17">
        <v>600</v>
      </c>
      <c r="E624" s="60">
        <v>19546.5</v>
      </c>
      <c r="F624" s="60">
        <v>20268.599999999999</v>
      </c>
      <c r="G624" s="20">
        <v>19876.7</v>
      </c>
    </row>
    <row r="625" spans="1:7" x14ac:dyDescent="0.25">
      <c r="A625" s="9" t="s">
        <v>196</v>
      </c>
      <c r="B625" s="10" t="s">
        <v>197</v>
      </c>
      <c r="C625" s="14"/>
      <c r="D625" s="11"/>
      <c r="E625" s="12">
        <f>SUM(E626)</f>
        <v>13545.6</v>
      </c>
      <c r="F625" s="12">
        <f t="shared" ref="F625:G625" si="195">SUM(F626)</f>
        <v>10588.3</v>
      </c>
      <c r="G625" s="12">
        <f t="shared" si="195"/>
        <v>6475.4</v>
      </c>
    </row>
    <row r="626" spans="1:7" ht="30" x14ac:dyDescent="0.25">
      <c r="A626" s="66" t="s">
        <v>543</v>
      </c>
      <c r="B626" s="15" t="s">
        <v>197</v>
      </c>
      <c r="C626" s="16" t="s">
        <v>192</v>
      </c>
      <c r="D626" s="17"/>
      <c r="E626" s="20">
        <f>E627+E630</f>
        <v>13545.6</v>
      </c>
      <c r="F626" s="20">
        <f t="shared" ref="F626:G626" si="196">F627+F630</f>
        <v>10588.3</v>
      </c>
      <c r="G626" s="20">
        <f t="shared" si="196"/>
        <v>6475.4</v>
      </c>
    </row>
    <row r="627" spans="1:7" ht="30" x14ac:dyDescent="0.25">
      <c r="A627" s="1" t="s">
        <v>198</v>
      </c>
      <c r="B627" s="15" t="s">
        <v>197</v>
      </c>
      <c r="C627" s="16" t="s">
        <v>199</v>
      </c>
      <c r="D627" s="17"/>
      <c r="E627" s="20">
        <f>E628</f>
        <v>359.4</v>
      </c>
      <c r="F627" s="20">
        <f t="shared" ref="F627:G628" si="197">F628</f>
        <v>249</v>
      </c>
      <c r="G627" s="20">
        <f t="shared" si="197"/>
        <v>249</v>
      </c>
    </row>
    <row r="628" spans="1:7" ht="30" x14ac:dyDescent="0.25">
      <c r="A628" s="1" t="s">
        <v>200</v>
      </c>
      <c r="B628" s="15" t="s">
        <v>197</v>
      </c>
      <c r="C628" s="16" t="s">
        <v>201</v>
      </c>
      <c r="D628" s="17"/>
      <c r="E628" s="20">
        <f>E629</f>
        <v>359.4</v>
      </c>
      <c r="F628" s="20">
        <f t="shared" si="197"/>
        <v>249</v>
      </c>
      <c r="G628" s="20">
        <f t="shared" si="197"/>
        <v>249</v>
      </c>
    </row>
    <row r="629" spans="1:7" ht="30" x14ac:dyDescent="0.25">
      <c r="A629" s="1" t="s">
        <v>21</v>
      </c>
      <c r="B629" s="15" t="s">
        <v>197</v>
      </c>
      <c r="C629" s="16" t="s">
        <v>201</v>
      </c>
      <c r="D629" s="17">
        <v>200</v>
      </c>
      <c r="E629" s="60">
        <f>249+265-175+20.4</f>
        <v>359.4</v>
      </c>
      <c r="F629" s="60">
        <v>249</v>
      </c>
      <c r="G629" s="20">
        <v>249</v>
      </c>
    </row>
    <row r="630" spans="1:7" ht="30" x14ac:dyDescent="0.25">
      <c r="A630" s="61" t="s">
        <v>202</v>
      </c>
      <c r="B630" s="15" t="s">
        <v>197</v>
      </c>
      <c r="C630" s="16" t="s">
        <v>203</v>
      </c>
      <c r="D630" s="17"/>
      <c r="E630" s="20">
        <f>E631+E634+E636+E638</f>
        <v>13186.2</v>
      </c>
      <c r="F630" s="20">
        <f t="shared" ref="F630:G630" si="198">F631+F634+F636+F638</f>
        <v>10339.299999999999</v>
      </c>
      <c r="G630" s="20">
        <f t="shared" si="198"/>
        <v>6226.4</v>
      </c>
    </row>
    <row r="631" spans="1:7" ht="30" x14ac:dyDescent="0.25">
      <c r="A631" s="1" t="s">
        <v>204</v>
      </c>
      <c r="B631" s="15" t="s">
        <v>197</v>
      </c>
      <c r="C631" s="16" t="s">
        <v>205</v>
      </c>
      <c r="D631" s="17"/>
      <c r="E631" s="20">
        <f>SUM(E632:E633)</f>
        <v>8273.9</v>
      </c>
      <c r="F631" s="20">
        <f t="shared" ref="F631:G631" si="199">SUM(F632:F633)</f>
        <v>6929.3</v>
      </c>
      <c r="G631" s="20">
        <f t="shared" si="199"/>
        <v>3816.4</v>
      </c>
    </row>
    <row r="632" spans="1:7" ht="60" x14ac:dyDescent="0.25">
      <c r="A632" s="1" t="s">
        <v>14</v>
      </c>
      <c r="B632" s="15" t="s">
        <v>197</v>
      </c>
      <c r="C632" s="16" t="s">
        <v>205</v>
      </c>
      <c r="D632" s="17">
        <v>100</v>
      </c>
      <c r="E632" s="60">
        <f>1000+81.5+903+159.4+44.5+1834.7-3.3</f>
        <v>4019.8</v>
      </c>
      <c r="F632" s="60">
        <v>1000</v>
      </c>
      <c r="G632" s="20">
        <v>500</v>
      </c>
    </row>
    <row r="633" spans="1:7" ht="30" x14ac:dyDescent="0.25">
      <c r="A633" s="1" t="s">
        <v>21</v>
      </c>
      <c r="B633" s="15" t="s">
        <v>197</v>
      </c>
      <c r="C633" s="16" t="s">
        <v>205</v>
      </c>
      <c r="D633" s="17">
        <v>200</v>
      </c>
      <c r="E633" s="60">
        <f>3707.6-44.5+97-359.4-44.5+722.1+175.8</f>
        <v>4254.0999999999995</v>
      </c>
      <c r="F633" s="60">
        <v>5929.3</v>
      </c>
      <c r="G633" s="20">
        <v>3316.4</v>
      </c>
    </row>
    <row r="634" spans="1:7" ht="30" x14ac:dyDescent="0.25">
      <c r="A634" s="82" t="s">
        <v>206</v>
      </c>
      <c r="B634" s="15" t="s">
        <v>197</v>
      </c>
      <c r="C634" s="16" t="s">
        <v>207</v>
      </c>
      <c r="D634" s="17"/>
      <c r="E634" s="20">
        <f>E635</f>
        <v>1613</v>
      </c>
      <c r="F634" s="20">
        <f t="shared" ref="F634:G634" si="200">F635</f>
        <v>1650</v>
      </c>
      <c r="G634" s="20">
        <f t="shared" si="200"/>
        <v>1650</v>
      </c>
    </row>
    <row r="635" spans="1:7" ht="30" x14ac:dyDescent="0.25">
      <c r="A635" s="1" t="s">
        <v>21</v>
      </c>
      <c r="B635" s="15" t="s">
        <v>197</v>
      </c>
      <c r="C635" s="16" t="s">
        <v>207</v>
      </c>
      <c r="D635" s="88">
        <v>200</v>
      </c>
      <c r="E635" s="60">
        <f>1650-37</f>
        <v>1613</v>
      </c>
      <c r="F635" s="60">
        <v>1650</v>
      </c>
      <c r="G635" s="20">
        <v>1650</v>
      </c>
    </row>
    <row r="636" spans="1:7" x14ac:dyDescent="0.25">
      <c r="A636" s="82" t="s">
        <v>208</v>
      </c>
      <c r="B636" s="15" t="s">
        <v>197</v>
      </c>
      <c r="C636" s="16" t="s">
        <v>209</v>
      </c>
      <c r="D636" s="88"/>
      <c r="E636" s="20">
        <f>E637</f>
        <v>2842.3</v>
      </c>
      <c r="F636" s="20">
        <f t="shared" ref="F636:G636" si="201">F637</f>
        <v>1600</v>
      </c>
      <c r="G636" s="20">
        <f t="shared" si="201"/>
        <v>600</v>
      </c>
    </row>
    <row r="637" spans="1:7" s="13" customFormat="1" ht="30" x14ac:dyDescent="0.25">
      <c r="A637" s="1" t="s">
        <v>58</v>
      </c>
      <c r="B637" s="15" t="s">
        <v>197</v>
      </c>
      <c r="C637" s="16" t="s">
        <v>209</v>
      </c>
      <c r="D637" s="88">
        <v>600</v>
      </c>
      <c r="E637" s="60">
        <f>1600+1039.8+375-172.5</f>
        <v>2842.3</v>
      </c>
      <c r="F637" s="60">
        <v>1600</v>
      </c>
      <c r="G637" s="20">
        <v>600</v>
      </c>
    </row>
    <row r="638" spans="1:7" ht="30" x14ac:dyDescent="0.25">
      <c r="A638" s="1" t="s">
        <v>210</v>
      </c>
      <c r="B638" s="15" t="s">
        <v>197</v>
      </c>
      <c r="C638" s="16" t="s">
        <v>211</v>
      </c>
      <c r="D638" s="17"/>
      <c r="E638" s="20">
        <f>E639</f>
        <v>457</v>
      </c>
      <c r="F638" s="20">
        <f t="shared" ref="F638:G638" si="202">F639</f>
        <v>160</v>
      </c>
      <c r="G638" s="20">
        <f t="shared" si="202"/>
        <v>160</v>
      </c>
    </row>
    <row r="639" spans="1:7" ht="30" x14ac:dyDescent="0.25">
      <c r="A639" s="1" t="s">
        <v>21</v>
      </c>
      <c r="B639" s="15" t="s">
        <v>197</v>
      </c>
      <c r="C639" s="16" t="s">
        <v>211</v>
      </c>
      <c r="D639" s="17">
        <v>200</v>
      </c>
      <c r="E639" s="60">
        <f>160+297</f>
        <v>457</v>
      </c>
      <c r="F639" s="60">
        <v>160</v>
      </c>
      <c r="G639" s="20">
        <v>160</v>
      </c>
    </row>
    <row r="640" spans="1:7" x14ac:dyDescent="0.25">
      <c r="A640" s="127" t="s">
        <v>212</v>
      </c>
      <c r="B640" s="24" t="s">
        <v>213</v>
      </c>
      <c r="C640" s="24"/>
      <c r="D640" s="25"/>
      <c r="E640" s="12">
        <f>SUM(E641)</f>
        <v>29493.8</v>
      </c>
      <c r="F640" s="12">
        <f t="shared" ref="F640:G640" si="203">SUM(F641)</f>
        <v>27224.7</v>
      </c>
      <c r="G640" s="12">
        <f t="shared" si="203"/>
        <v>25796.2</v>
      </c>
    </row>
    <row r="641" spans="1:7" x14ac:dyDescent="0.25">
      <c r="A641" s="85" t="s">
        <v>214</v>
      </c>
      <c r="B641" s="24" t="s">
        <v>215</v>
      </c>
      <c r="C641" s="24"/>
      <c r="D641" s="25"/>
      <c r="E641" s="12">
        <f>SUM(E642)</f>
        <v>29493.8</v>
      </c>
      <c r="F641" s="12">
        <f t="shared" ref="F641:G642" si="204">SUM(F642)</f>
        <v>27224.7</v>
      </c>
      <c r="G641" s="12">
        <f t="shared" si="204"/>
        <v>25796.2</v>
      </c>
    </row>
    <row r="642" spans="1:7" x14ac:dyDescent="0.25">
      <c r="A642" s="98" t="s">
        <v>10</v>
      </c>
      <c r="B642" s="91" t="s">
        <v>215</v>
      </c>
      <c r="C642" s="91" t="s">
        <v>11</v>
      </c>
      <c r="D642" s="88"/>
      <c r="E642" s="20">
        <f>SUM(E643)</f>
        <v>29493.8</v>
      </c>
      <c r="F642" s="20">
        <f t="shared" si="204"/>
        <v>27224.7</v>
      </c>
      <c r="G642" s="20">
        <f t="shared" si="204"/>
        <v>25796.2</v>
      </c>
    </row>
    <row r="643" spans="1:7" ht="33.75" customHeight="1" x14ac:dyDescent="0.25">
      <c r="A643" s="87" t="s">
        <v>57</v>
      </c>
      <c r="B643" s="91" t="s">
        <v>215</v>
      </c>
      <c r="C643" s="91" t="s">
        <v>52</v>
      </c>
      <c r="D643" s="91"/>
      <c r="E643" s="20">
        <f>E644</f>
        <v>29493.8</v>
      </c>
      <c r="F643" s="20">
        <f t="shared" ref="F643:G643" si="205">F644</f>
        <v>27224.7</v>
      </c>
      <c r="G643" s="20">
        <f t="shared" si="205"/>
        <v>25796.2</v>
      </c>
    </row>
    <row r="644" spans="1:7" ht="33" customHeight="1" x14ac:dyDescent="0.25">
      <c r="A644" s="87" t="s">
        <v>58</v>
      </c>
      <c r="B644" s="91" t="s">
        <v>215</v>
      </c>
      <c r="C644" s="91" t="s">
        <v>52</v>
      </c>
      <c r="D644" s="92">
        <v>600</v>
      </c>
      <c r="E644" s="60">
        <f>25788.8+900+2805</f>
        <v>29493.8</v>
      </c>
      <c r="F644" s="60">
        <v>27224.7</v>
      </c>
      <c r="G644" s="20">
        <v>25796.2</v>
      </c>
    </row>
    <row r="645" spans="1:7" x14ac:dyDescent="0.25">
      <c r="A645" s="9" t="s">
        <v>216</v>
      </c>
      <c r="B645" s="10" t="s">
        <v>217</v>
      </c>
      <c r="C645" s="14"/>
      <c r="D645" s="11"/>
      <c r="E645" s="12">
        <f>E646</f>
        <v>82339.3</v>
      </c>
      <c r="F645" s="12">
        <f t="shared" ref="F645:G648" si="206">F646</f>
        <v>90905</v>
      </c>
      <c r="G645" s="12">
        <f t="shared" si="206"/>
        <v>96410.3</v>
      </c>
    </row>
    <row r="646" spans="1:7" ht="29.25" x14ac:dyDescent="0.25">
      <c r="A646" s="9" t="s">
        <v>218</v>
      </c>
      <c r="B646" s="10" t="s">
        <v>219</v>
      </c>
      <c r="C646" s="14"/>
      <c r="D646" s="11"/>
      <c r="E646" s="12">
        <f>E647</f>
        <v>82339.3</v>
      </c>
      <c r="F646" s="12">
        <f t="shared" si="206"/>
        <v>90905</v>
      </c>
      <c r="G646" s="12">
        <f t="shared" si="206"/>
        <v>96410.3</v>
      </c>
    </row>
    <row r="647" spans="1:7" x14ac:dyDescent="0.25">
      <c r="A647" s="1" t="s">
        <v>10</v>
      </c>
      <c r="B647" s="15" t="s">
        <v>219</v>
      </c>
      <c r="C647" s="16" t="s">
        <v>11</v>
      </c>
      <c r="D647" s="17"/>
      <c r="E647" s="59">
        <f>E648+E650</f>
        <v>82339.3</v>
      </c>
      <c r="F647" s="59">
        <f t="shared" ref="F647:G647" si="207">F648+F650</f>
        <v>90905</v>
      </c>
      <c r="G647" s="59">
        <f t="shared" si="207"/>
        <v>96410.3</v>
      </c>
    </row>
    <row r="648" spans="1:7" x14ac:dyDescent="0.25">
      <c r="A648" s="1" t="s">
        <v>220</v>
      </c>
      <c r="B648" s="15" t="s">
        <v>219</v>
      </c>
      <c r="C648" s="16" t="s">
        <v>221</v>
      </c>
      <c r="D648" s="17"/>
      <c r="E648" s="59">
        <f>E649</f>
        <v>62889.100000000006</v>
      </c>
      <c r="F648" s="59">
        <f t="shared" si="206"/>
        <v>90905</v>
      </c>
      <c r="G648" s="59">
        <f t="shared" si="206"/>
        <v>96410.3</v>
      </c>
    </row>
    <row r="649" spans="1:7" x14ac:dyDescent="0.25">
      <c r="A649" s="1" t="s">
        <v>222</v>
      </c>
      <c r="B649" s="15" t="s">
        <v>219</v>
      </c>
      <c r="C649" s="16" t="s">
        <v>221</v>
      </c>
      <c r="D649" s="17">
        <v>700</v>
      </c>
      <c r="E649" s="60">
        <f>82339.3-19450.2</f>
        <v>62889.100000000006</v>
      </c>
      <c r="F649" s="60">
        <v>90905</v>
      </c>
      <c r="G649" s="20">
        <f>96410.3-93025.7+93025.7</f>
        <v>96410.3</v>
      </c>
    </row>
    <row r="650" spans="1:7" s="13" customFormat="1" ht="49.5" customHeight="1" x14ac:dyDescent="0.25">
      <c r="A650" s="66" t="s">
        <v>551</v>
      </c>
      <c r="B650" s="15" t="s">
        <v>219</v>
      </c>
      <c r="C650" s="16" t="s">
        <v>514</v>
      </c>
      <c r="D650" s="17"/>
      <c r="E650" s="60">
        <f>E651</f>
        <v>19450.2</v>
      </c>
      <c r="F650" s="60">
        <f>F651</f>
        <v>0</v>
      </c>
      <c r="G650" s="20">
        <f>G651</f>
        <v>0</v>
      </c>
    </row>
    <row r="651" spans="1:7" s="13" customFormat="1" ht="24" customHeight="1" x14ac:dyDescent="0.25">
      <c r="A651" s="1" t="s">
        <v>222</v>
      </c>
      <c r="B651" s="15" t="s">
        <v>219</v>
      </c>
      <c r="C651" s="16" t="s">
        <v>514</v>
      </c>
      <c r="D651" s="17">
        <v>700</v>
      </c>
      <c r="E651" s="60">
        <v>19450.2</v>
      </c>
      <c r="F651" s="60">
        <v>0</v>
      </c>
      <c r="G651" s="20">
        <f>93025.7-93025.7</f>
        <v>0</v>
      </c>
    </row>
    <row r="652" spans="1:7" s="13" customFormat="1" x14ac:dyDescent="0.25">
      <c r="A652" s="1"/>
      <c r="B652" s="19"/>
      <c r="C652" s="16"/>
      <c r="D652" s="27"/>
      <c r="E652" s="18"/>
    </row>
    <row r="653" spans="1:7" x14ac:dyDescent="0.25">
      <c r="A653" s="57" t="s">
        <v>513</v>
      </c>
      <c r="B653" s="19"/>
      <c r="C653" s="16"/>
      <c r="D653" s="27"/>
      <c r="F653" s="55">
        <v>124905.7</v>
      </c>
      <c r="G653" s="55">
        <v>133832.4</v>
      </c>
    </row>
    <row r="654" spans="1:7" ht="15.75" x14ac:dyDescent="0.25">
      <c r="A654" s="54"/>
      <c r="B654" s="19"/>
      <c r="C654" s="16"/>
      <c r="D654" s="27"/>
      <c r="F654" s="20"/>
      <c r="G654" s="20"/>
    </row>
    <row r="655" spans="1:7" x14ac:dyDescent="0.25">
      <c r="A655" s="9" t="s">
        <v>577</v>
      </c>
      <c r="B655" s="14"/>
      <c r="C655" s="14"/>
      <c r="D655" s="28"/>
      <c r="E655" s="12">
        <f>E9+E97+E105+E134+E252+E400+E536+E619+E640+E645+E572+E654</f>
        <v>6213162.0999999996</v>
      </c>
      <c r="F655" s="12">
        <f>F9+F97+F105+F134+F252+F400+F536+F619+F640+F645+F572+F654+F653</f>
        <v>5612130.6000000006</v>
      </c>
      <c r="G655" s="12">
        <f>G9+G97+G105+G134+G252+G400+G536+G619+G640+G645+G572+G654+G653</f>
        <v>5291737.7</v>
      </c>
    </row>
    <row r="656" spans="1:7" s="13" customFormat="1" x14ac:dyDescent="0.25">
      <c r="A656" s="29"/>
      <c r="B656" s="16"/>
      <c r="C656" s="16"/>
      <c r="D656" s="27"/>
      <c r="E656" s="30"/>
      <c r="F656" s="18"/>
      <c r="G656" s="18"/>
    </row>
    <row r="657" spans="1:7" x14ac:dyDescent="0.25">
      <c r="A657" s="31"/>
      <c r="B657" s="16"/>
      <c r="C657" s="16"/>
      <c r="D657" s="27"/>
      <c r="E657" s="60"/>
      <c r="F657" s="60"/>
      <c r="G657" s="60"/>
    </row>
    <row r="658" spans="1:7" x14ac:dyDescent="0.25">
      <c r="A658" s="29"/>
      <c r="B658" s="16"/>
      <c r="C658" s="17"/>
      <c r="D658" s="27"/>
      <c r="E658" s="30"/>
      <c r="F658" s="30"/>
      <c r="G658" s="30"/>
    </row>
    <row r="659" spans="1:7" x14ac:dyDescent="0.25">
      <c r="A659" s="9"/>
      <c r="B659" s="16"/>
      <c r="C659" s="17"/>
      <c r="D659" s="33"/>
      <c r="E659" s="30"/>
      <c r="F659" s="30"/>
      <c r="G659" s="30"/>
    </row>
    <row r="660" spans="1:7" x14ac:dyDescent="0.25">
      <c r="A660" s="9"/>
      <c r="B660" s="14"/>
      <c r="C660" s="11"/>
      <c r="D660" s="33"/>
      <c r="E660" s="56"/>
      <c r="F660" s="56"/>
      <c r="G660" s="56"/>
    </row>
    <row r="661" spans="1:7" x14ac:dyDescent="0.25">
      <c r="A661" s="1"/>
      <c r="B661" s="16"/>
      <c r="C661" s="17"/>
      <c r="D661" s="27"/>
    </row>
    <row r="662" spans="1:7" x14ac:dyDescent="0.25">
      <c r="A662" s="34"/>
      <c r="B662" s="16"/>
      <c r="C662" s="17"/>
      <c r="D662" s="27"/>
      <c r="E662" s="30"/>
      <c r="F662" s="30"/>
      <c r="G662" s="30"/>
    </row>
    <row r="663" spans="1:7" x14ac:dyDescent="0.25">
      <c r="A663" s="35"/>
      <c r="B663" s="16"/>
      <c r="C663" s="17"/>
      <c r="D663" s="27"/>
    </row>
    <row r="664" spans="1:7" x14ac:dyDescent="0.25">
      <c r="A664" s="23"/>
      <c r="B664" s="16"/>
      <c r="C664" s="17"/>
      <c r="D664" s="27"/>
    </row>
    <row r="665" spans="1:7" x14ac:dyDescent="0.25">
      <c r="A665" s="29"/>
      <c r="B665" s="16"/>
      <c r="C665" s="17"/>
      <c r="D665" s="27"/>
    </row>
    <row r="666" spans="1:7" x14ac:dyDescent="0.25">
      <c r="A666" s="36"/>
      <c r="B666" s="37"/>
      <c r="C666" s="25"/>
      <c r="D666" s="33"/>
    </row>
    <row r="667" spans="1:7" x14ac:dyDescent="0.25">
      <c r="A667" s="38"/>
      <c r="B667" s="14"/>
      <c r="C667" s="11"/>
      <c r="D667" s="33"/>
    </row>
    <row r="668" spans="1:7" x14ac:dyDescent="0.25">
      <c r="A668" s="29"/>
      <c r="B668" s="16"/>
      <c r="C668" s="17"/>
      <c r="D668" s="27"/>
    </row>
    <row r="669" spans="1:7" x14ac:dyDescent="0.25">
      <c r="A669" s="29"/>
      <c r="B669" s="16"/>
      <c r="C669" s="17"/>
      <c r="D669" s="27"/>
    </row>
    <row r="670" spans="1:7" x14ac:dyDescent="0.25">
      <c r="A670" s="29"/>
      <c r="B670" s="16"/>
      <c r="C670" s="17"/>
      <c r="D670" s="27"/>
    </row>
    <row r="671" spans="1:7" x14ac:dyDescent="0.25">
      <c r="A671" s="38"/>
      <c r="B671" s="14"/>
      <c r="C671" s="11"/>
      <c r="D671" s="33"/>
      <c r="E671" s="13"/>
    </row>
    <row r="672" spans="1:7" x14ac:dyDescent="0.25">
      <c r="A672" s="29"/>
      <c r="B672" s="16"/>
      <c r="C672" s="17"/>
      <c r="D672" s="27"/>
    </row>
    <row r="673" spans="1:4" x14ac:dyDescent="0.25">
      <c r="A673" s="29"/>
      <c r="B673" s="16"/>
      <c r="C673" s="17"/>
      <c r="D673" s="27"/>
    </row>
    <row r="674" spans="1:4" x14ac:dyDescent="0.25">
      <c r="A674" s="29"/>
      <c r="B674" s="16"/>
      <c r="C674" s="17"/>
      <c r="D674" s="27"/>
    </row>
    <row r="675" spans="1:4" x14ac:dyDescent="0.25">
      <c r="A675" s="29"/>
      <c r="B675" s="16"/>
      <c r="C675" s="17"/>
      <c r="D675" s="27"/>
    </row>
    <row r="676" spans="1:4" x14ac:dyDescent="0.25">
      <c r="A676" s="29"/>
      <c r="B676" s="16"/>
      <c r="C676" s="17"/>
      <c r="D676" s="27"/>
    </row>
    <row r="677" spans="1:4" x14ac:dyDescent="0.25">
      <c r="A677" s="32"/>
      <c r="B677" s="16"/>
      <c r="C677" s="17"/>
      <c r="D677" s="27"/>
    </row>
    <row r="678" spans="1:4" x14ac:dyDescent="0.25">
      <c r="A678" s="29"/>
      <c r="B678" s="16"/>
      <c r="C678" s="17"/>
      <c r="D678" s="27"/>
    </row>
    <row r="679" spans="1:4" x14ac:dyDescent="0.25">
      <c r="A679" s="29"/>
      <c r="B679" s="16"/>
      <c r="C679" s="17"/>
      <c r="D679" s="27"/>
    </row>
    <row r="680" spans="1:4" x14ac:dyDescent="0.25">
      <c r="A680" s="29"/>
      <c r="B680" s="16"/>
      <c r="C680" s="17"/>
      <c r="D680" s="27"/>
    </row>
    <row r="681" spans="1:4" x14ac:dyDescent="0.25">
      <c r="A681" s="29"/>
      <c r="B681" s="16"/>
      <c r="C681" s="17"/>
      <c r="D681" s="27"/>
    </row>
    <row r="682" spans="1:4" x14ac:dyDescent="0.25">
      <c r="A682" s="29"/>
      <c r="B682" s="16"/>
      <c r="C682" s="17"/>
      <c r="D682" s="27"/>
    </row>
    <row r="683" spans="1:4" x14ac:dyDescent="0.25">
      <c r="A683" s="29"/>
      <c r="B683" s="16"/>
      <c r="C683" s="17"/>
      <c r="D683" s="27"/>
    </row>
    <row r="684" spans="1:4" x14ac:dyDescent="0.25">
      <c r="A684" s="34"/>
      <c r="B684" s="16"/>
      <c r="C684" s="17"/>
      <c r="D684" s="27"/>
    </row>
    <row r="685" spans="1:4" x14ac:dyDescent="0.25">
      <c r="A685" s="39"/>
      <c r="B685" s="16"/>
      <c r="C685" s="17"/>
      <c r="D685" s="27"/>
    </row>
    <row r="686" spans="1:4" x14ac:dyDescent="0.25">
      <c r="A686" s="1"/>
      <c r="B686" s="16"/>
      <c r="C686" s="17"/>
      <c r="D686" s="27"/>
    </row>
    <row r="687" spans="1:4" x14ac:dyDescent="0.25">
      <c r="A687" s="40"/>
      <c r="B687" s="41"/>
      <c r="C687" s="22"/>
      <c r="D687" s="27"/>
    </row>
    <row r="688" spans="1:4" x14ac:dyDescent="0.25">
      <c r="A688" s="40"/>
      <c r="B688" s="41"/>
      <c r="C688" s="22"/>
      <c r="D688" s="27"/>
    </row>
    <row r="689" spans="1:4" x14ac:dyDescent="0.25">
      <c r="A689" s="40"/>
      <c r="B689" s="41"/>
      <c r="C689" s="22"/>
      <c r="D689" s="27"/>
    </row>
    <row r="690" spans="1:4" x14ac:dyDescent="0.25">
      <c r="A690" s="29"/>
      <c r="B690" s="41"/>
      <c r="C690" s="22"/>
      <c r="D690" s="27"/>
    </row>
    <row r="691" spans="1:4" x14ac:dyDescent="0.25">
      <c r="A691" s="40"/>
      <c r="B691" s="41"/>
      <c r="C691" s="22"/>
      <c r="D691" s="27"/>
    </row>
    <row r="692" spans="1:4" x14ac:dyDescent="0.25">
      <c r="A692" s="39"/>
      <c r="B692" s="21"/>
      <c r="C692" s="22"/>
      <c r="D692" s="27"/>
    </row>
    <row r="693" spans="1:4" x14ac:dyDescent="0.25">
      <c r="A693" s="29"/>
      <c r="B693" s="21"/>
      <c r="C693" s="22"/>
      <c r="D693" s="27"/>
    </row>
    <row r="694" spans="1:4" x14ac:dyDescent="0.25">
      <c r="A694" s="40"/>
      <c r="B694" s="41"/>
      <c r="C694" s="22"/>
      <c r="D694" s="27"/>
    </row>
    <row r="695" spans="1:4" x14ac:dyDescent="0.25">
      <c r="A695" s="42"/>
      <c r="B695" s="41"/>
      <c r="C695" s="22"/>
      <c r="D695" s="27"/>
    </row>
    <row r="696" spans="1:4" x14ac:dyDescent="0.25">
      <c r="A696" s="42"/>
      <c r="B696" s="41"/>
      <c r="C696" s="22"/>
      <c r="D696" s="27"/>
    </row>
    <row r="697" spans="1:4" x14ac:dyDescent="0.25">
      <c r="A697" s="42"/>
      <c r="B697" s="41"/>
      <c r="C697" s="22"/>
      <c r="D697" s="27"/>
    </row>
    <row r="698" spans="1:4" x14ac:dyDescent="0.25">
      <c r="A698" s="43"/>
      <c r="B698" s="21"/>
      <c r="C698" s="22"/>
      <c r="D698" s="27"/>
    </row>
    <row r="699" spans="1:4" x14ac:dyDescent="0.25">
      <c r="A699" s="42"/>
      <c r="B699" s="21"/>
      <c r="C699" s="22"/>
      <c r="D699" s="27"/>
    </row>
    <row r="700" spans="1:4" x14ac:dyDescent="0.25">
      <c r="A700" s="36"/>
      <c r="B700" s="37"/>
      <c r="C700" s="24"/>
      <c r="D700" s="33"/>
    </row>
    <row r="701" spans="1:4" x14ac:dyDescent="0.25">
      <c r="A701" s="29"/>
      <c r="B701" s="16"/>
      <c r="C701" s="24"/>
      <c r="D701" s="27"/>
    </row>
    <row r="702" spans="1:4" x14ac:dyDescent="0.25">
      <c r="A702" s="31"/>
      <c r="B702" s="16"/>
      <c r="C702" s="21"/>
      <c r="D702" s="27"/>
    </row>
    <row r="703" spans="1:4" x14ac:dyDescent="0.25">
      <c r="A703" s="43"/>
      <c r="B703" s="16"/>
      <c r="C703" s="21"/>
      <c r="D703" s="27"/>
    </row>
    <row r="704" spans="1:4" x14ac:dyDescent="0.25">
      <c r="A704" s="23"/>
      <c r="B704" s="16"/>
      <c r="C704" s="21"/>
      <c r="D704" s="27"/>
    </row>
    <row r="705" spans="1:4" x14ac:dyDescent="0.25">
      <c r="A705" s="29"/>
      <c r="B705" s="16"/>
      <c r="C705" s="21"/>
      <c r="D705" s="27"/>
    </row>
    <row r="706" spans="1:4" x14ac:dyDescent="0.25">
      <c r="A706" s="42"/>
      <c r="B706" s="16"/>
      <c r="C706" s="21"/>
      <c r="D706" s="27"/>
    </row>
    <row r="707" spans="1:4" x14ac:dyDescent="0.25">
      <c r="A707" s="29"/>
      <c r="B707" s="16"/>
      <c r="C707" s="15"/>
      <c r="D707" s="27"/>
    </row>
    <row r="708" spans="1:4" x14ac:dyDescent="0.25">
      <c r="A708" s="32"/>
      <c r="B708" s="16"/>
      <c r="C708" s="15"/>
      <c r="D708" s="27"/>
    </row>
    <row r="709" spans="1:4" x14ac:dyDescent="0.25">
      <c r="A709" s="31"/>
      <c r="B709" s="16"/>
      <c r="C709" s="17"/>
      <c r="D709" s="27"/>
    </row>
    <row r="710" spans="1:4" x14ac:dyDescent="0.25">
      <c r="A710" s="29"/>
      <c r="B710" s="16"/>
      <c r="C710" s="17"/>
      <c r="D710" s="27"/>
    </row>
    <row r="711" spans="1:4" x14ac:dyDescent="0.25">
      <c r="A711" s="32"/>
      <c r="B711" s="16"/>
      <c r="C711" s="15"/>
      <c r="D711" s="27"/>
    </row>
    <row r="712" spans="1:4" x14ac:dyDescent="0.25">
      <c r="A712" s="26"/>
      <c r="B712" s="16"/>
      <c r="C712" s="17"/>
      <c r="D712" s="27"/>
    </row>
    <row r="713" spans="1:4" x14ac:dyDescent="0.25">
      <c r="A713" s="1"/>
      <c r="B713" s="16"/>
      <c r="C713" s="17"/>
      <c r="D713" s="27"/>
    </row>
    <row r="714" spans="1:4" x14ac:dyDescent="0.25">
      <c r="A714" s="29"/>
      <c r="B714" s="16"/>
      <c r="C714" s="17"/>
      <c r="D714" s="27"/>
    </row>
    <row r="715" spans="1:4" x14ac:dyDescent="0.25">
      <c r="A715" s="44"/>
      <c r="B715" s="16"/>
      <c r="C715" s="17"/>
      <c r="D715" s="27"/>
    </row>
    <row r="716" spans="1:4" x14ac:dyDescent="0.25">
      <c r="A716" s="1"/>
      <c r="B716" s="16"/>
      <c r="C716" s="17"/>
      <c r="D716" s="27"/>
    </row>
    <row r="717" spans="1:4" x14ac:dyDescent="0.25">
      <c r="A717" s="29"/>
      <c r="B717" s="16"/>
      <c r="C717" s="17"/>
      <c r="D717" s="27"/>
    </row>
    <row r="718" spans="1:4" x14ac:dyDescent="0.25">
      <c r="A718" s="44"/>
      <c r="B718" s="16"/>
      <c r="C718" s="17"/>
      <c r="D718" s="27"/>
    </row>
    <row r="719" spans="1:4" x14ac:dyDescent="0.25">
      <c r="A719" s="1"/>
      <c r="B719" s="16"/>
      <c r="C719" s="17"/>
      <c r="D719" s="27"/>
    </row>
    <row r="720" spans="1:4" x14ac:dyDescent="0.25">
      <c r="A720" s="29"/>
      <c r="B720" s="16"/>
      <c r="C720" s="17"/>
      <c r="D720" s="27"/>
    </row>
    <row r="721" spans="1:4" x14ac:dyDescent="0.25">
      <c r="A721" s="38"/>
      <c r="B721" s="14"/>
      <c r="C721" s="11"/>
      <c r="D721" s="33"/>
    </row>
    <row r="722" spans="1:4" x14ac:dyDescent="0.25">
      <c r="A722" s="38"/>
      <c r="B722" s="14"/>
      <c r="C722" s="11"/>
      <c r="D722" s="33"/>
    </row>
    <row r="723" spans="1:4" x14ac:dyDescent="0.25">
      <c r="A723" s="29"/>
      <c r="B723" s="16"/>
      <c r="C723" s="17"/>
      <c r="D723" s="27"/>
    </row>
    <row r="724" spans="1:4" x14ac:dyDescent="0.25">
      <c r="A724" s="32"/>
      <c r="B724" s="16"/>
      <c r="C724" s="17"/>
      <c r="D724" s="27"/>
    </row>
    <row r="725" spans="1:4" x14ac:dyDescent="0.25">
      <c r="A725" s="29"/>
      <c r="B725" s="16"/>
      <c r="C725" s="17"/>
      <c r="D725" s="27"/>
    </row>
    <row r="726" spans="1:4" x14ac:dyDescent="0.25">
      <c r="A726" s="38"/>
      <c r="B726" s="14"/>
      <c r="C726" s="11"/>
      <c r="D726" s="33"/>
    </row>
    <row r="727" spans="1:4" x14ac:dyDescent="0.25">
      <c r="A727" s="29"/>
      <c r="B727" s="16"/>
      <c r="C727" s="17"/>
      <c r="D727" s="27"/>
    </row>
    <row r="728" spans="1:4" x14ac:dyDescent="0.25">
      <c r="A728" s="29"/>
      <c r="B728" s="16"/>
      <c r="C728" s="17"/>
      <c r="D728" s="27"/>
    </row>
    <row r="729" spans="1:4" x14ac:dyDescent="0.25">
      <c r="A729" s="29"/>
      <c r="B729" s="16"/>
      <c r="C729" s="17"/>
      <c r="D729" s="27"/>
    </row>
    <row r="730" spans="1:4" x14ac:dyDescent="0.25">
      <c r="A730" s="29"/>
      <c r="B730" s="16"/>
      <c r="C730" s="17"/>
      <c r="D730" s="27"/>
    </row>
    <row r="731" spans="1:4" x14ac:dyDescent="0.25">
      <c r="A731" s="29"/>
      <c r="B731" s="16"/>
      <c r="C731" s="17"/>
      <c r="D731" s="27"/>
    </row>
    <row r="732" spans="1:4" x14ac:dyDescent="0.25">
      <c r="A732" s="29"/>
      <c r="B732" s="16"/>
      <c r="C732" s="17"/>
      <c r="D732" s="27"/>
    </row>
    <row r="733" spans="1:4" x14ac:dyDescent="0.25">
      <c r="A733" s="29"/>
      <c r="B733" s="16"/>
      <c r="C733" s="17"/>
      <c r="D733" s="27"/>
    </row>
    <row r="734" spans="1:4" x14ac:dyDescent="0.25">
      <c r="A734" s="1"/>
      <c r="B734" s="16"/>
      <c r="C734" s="17"/>
      <c r="D734" s="27"/>
    </row>
    <row r="735" spans="1:4" x14ac:dyDescent="0.25">
      <c r="A735" s="23"/>
      <c r="B735" s="16"/>
      <c r="C735" s="17"/>
      <c r="D735" s="27"/>
    </row>
    <row r="736" spans="1:4" x14ac:dyDescent="0.25">
      <c r="A736" s="29"/>
      <c r="B736" s="16"/>
      <c r="C736" s="17"/>
      <c r="D736" s="27"/>
    </row>
    <row r="737" spans="1:5" x14ac:dyDescent="0.25">
      <c r="A737" s="29"/>
      <c r="B737" s="16"/>
      <c r="C737" s="17"/>
      <c r="D737" s="27"/>
    </row>
    <row r="738" spans="1:5" x14ac:dyDescent="0.25">
      <c r="A738" s="45"/>
      <c r="B738" s="37"/>
      <c r="C738" s="25"/>
      <c r="D738" s="33"/>
    </row>
    <row r="739" spans="1:5" x14ac:dyDescent="0.25">
      <c r="A739" s="36"/>
      <c r="B739" s="37"/>
      <c r="C739" s="25"/>
      <c r="D739" s="33"/>
    </row>
    <row r="740" spans="1:5" x14ac:dyDescent="0.25">
      <c r="A740" s="46"/>
      <c r="B740" s="41"/>
      <c r="C740" s="22"/>
      <c r="D740" s="27"/>
    </row>
    <row r="741" spans="1:5" x14ac:dyDescent="0.25">
      <c r="A741" s="42"/>
      <c r="B741" s="41"/>
      <c r="C741" s="22"/>
      <c r="D741" s="27"/>
    </row>
    <row r="742" spans="1:5" x14ac:dyDescent="0.25">
      <c r="A742" s="42"/>
      <c r="B742" s="41"/>
      <c r="C742" s="22"/>
      <c r="D742" s="27"/>
    </row>
    <row r="743" spans="1:5" x14ac:dyDescent="0.25">
      <c r="A743" s="36"/>
      <c r="B743" s="37"/>
      <c r="C743" s="25"/>
      <c r="D743" s="33"/>
    </row>
    <row r="744" spans="1:5" x14ac:dyDescent="0.25">
      <c r="A744" s="46"/>
      <c r="B744" s="41"/>
      <c r="C744" s="22"/>
      <c r="D744" s="27"/>
    </row>
    <row r="745" spans="1:5" x14ac:dyDescent="0.25">
      <c r="A745" s="40"/>
      <c r="B745" s="41"/>
      <c r="C745" s="22"/>
      <c r="D745" s="27"/>
    </row>
    <row r="746" spans="1:5" x14ac:dyDescent="0.25">
      <c r="A746" s="42"/>
      <c r="B746" s="41"/>
      <c r="C746" s="22"/>
      <c r="D746" s="27"/>
    </row>
    <row r="747" spans="1:5" x14ac:dyDescent="0.25">
      <c r="A747" s="38"/>
      <c r="B747" s="14"/>
      <c r="C747" s="11"/>
      <c r="D747" s="33"/>
    </row>
    <row r="748" spans="1:5" x14ac:dyDescent="0.25">
      <c r="A748" s="38"/>
      <c r="B748" s="14"/>
      <c r="C748" s="11"/>
      <c r="D748" s="33"/>
    </row>
    <row r="749" spans="1:5" x14ac:dyDescent="0.25">
      <c r="A749" s="29"/>
      <c r="B749" s="16"/>
      <c r="C749" s="17"/>
      <c r="D749" s="27"/>
    </row>
    <row r="750" spans="1:5" x14ac:dyDescent="0.25">
      <c r="A750" s="29"/>
      <c r="B750" s="16"/>
      <c r="C750" s="17"/>
      <c r="D750" s="27"/>
    </row>
    <row r="751" spans="1:5" x14ac:dyDescent="0.25">
      <c r="A751" s="29"/>
      <c r="B751" s="16"/>
      <c r="C751" s="17"/>
      <c r="D751" s="27"/>
    </row>
    <row r="752" spans="1:5" x14ac:dyDescent="0.25">
      <c r="A752" s="9"/>
      <c r="B752" s="9"/>
      <c r="C752" s="47"/>
      <c r="D752" s="48"/>
      <c r="E752" s="49"/>
    </row>
    <row r="753" spans="5:7" x14ac:dyDescent="0.25">
      <c r="E753" s="30"/>
    </row>
    <row r="755" spans="5:7" x14ac:dyDescent="0.25">
      <c r="E755" s="30"/>
      <c r="F755" s="30"/>
      <c r="G755" s="30"/>
    </row>
    <row r="756" spans="5:7" x14ac:dyDescent="0.25">
      <c r="E756" s="30"/>
      <c r="F756" s="30"/>
      <c r="G756" s="30"/>
    </row>
    <row r="757" spans="5:7" x14ac:dyDescent="0.25">
      <c r="E757" s="30"/>
      <c r="F757" s="30"/>
      <c r="G757" s="30"/>
    </row>
    <row r="759" spans="5:7" x14ac:dyDescent="0.25">
      <c r="E759" s="30"/>
      <c r="F759" s="30"/>
      <c r="G759" s="30"/>
    </row>
    <row r="761" spans="5:7" x14ac:dyDescent="0.25">
      <c r="E761" s="30"/>
      <c r="F761" s="30"/>
      <c r="G761" s="30"/>
    </row>
    <row r="765" spans="5:7" x14ac:dyDescent="0.25">
      <c r="E765" s="30"/>
      <c r="F765" s="30"/>
      <c r="G765" s="30"/>
    </row>
    <row r="767" spans="5:7" x14ac:dyDescent="0.25">
      <c r="E767" s="30"/>
      <c r="F767" s="30"/>
      <c r="G767" s="30"/>
    </row>
    <row r="769" spans="5:7" x14ac:dyDescent="0.25">
      <c r="E769" s="30"/>
      <c r="F769" s="30"/>
      <c r="G769" s="30"/>
    </row>
  </sheetData>
  <mergeCells count="7">
    <mergeCell ref="A6:G6"/>
    <mergeCell ref="C5:E5"/>
    <mergeCell ref="C4:E4"/>
    <mergeCell ref="C1:G1"/>
    <mergeCell ref="C2:G2"/>
    <mergeCell ref="C3:G3"/>
    <mergeCell ref="F4:G4"/>
  </mergeCells>
  <pageMargins left="0.70866141732283472" right="0.19685039370078741" top="0.35433070866141736" bottom="0.19685039370078741" header="0.31496062992125984" footer="0.15748031496062992"/>
  <pageSetup paperSize="9" scale="70" fitToHeight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рпр</vt:lpstr>
      <vt:lpstr>рпр!Заголовки_для_печати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Zaharevich</dc:creator>
  <cp:lastModifiedBy>VolrjvaS</cp:lastModifiedBy>
  <cp:lastPrinted>2019-08-13T02:23:32Z</cp:lastPrinted>
  <dcterms:created xsi:type="dcterms:W3CDTF">2016-11-03T06:32:07Z</dcterms:created>
  <dcterms:modified xsi:type="dcterms:W3CDTF">2019-08-13T02:23:36Z</dcterms:modified>
</cp:coreProperties>
</file>