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Уточнения бюджета в 2020\Февраль\Пакет на Думу февраль - с поправками\"/>
    </mc:Choice>
  </mc:AlternateContent>
  <bookViews>
    <workbookView xWindow="0" yWindow="0" windowWidth="28800" windowHeight="12300"/>
  </bookViews>
  <sheets>
    <sheet name="рпр" sheetId="3" r:id="rId1"/>
  </sheets>
  <definedNames>
    <definedName name="_xlnm._FilterDatabase" localSheetId="0" hidden="1">рпр!$A$8:$G$596</definedName>
    <definedName name="_xlnm.Print_Titles" localSheetId="0">рпр!$8:$8</definedName>
  </definedNames>
  <calcPr calcId="162913"/>
</workbook>
</file>

<file path=xl/calcChain.xml><?xml version="1.0" encoding="utf-8"?>
<calcChain xmlns="http://schemas.openxmlformats.org/spreadsheetml/2006/main">
  <c r="E579" i="3" l="1"/>
  <c r="E313" i="3" l="1"/>
  <c r="E409" i="3" l="1"/>
  <c r="E383" i="3"/>
  <c r="E354" i="3"/>
  <c r="E158" i="3" l="1"/>
  <c r="E221" i="3" l="1"/>
  <c r="E161" i="3" l="1"/>
  <c r="F102" i="3"/>
  <c r="G102" i="3"/>
  <c r="E102" i="3"/>
  <c r="E52" i="3"/>
  <c r="E53" i="3"/>
  <c r="F161" i="3" l="1"/>
  <c r="G161" i="3"/>
  <c r="F165" i="3"/>
  <c r="F162" i="3"/>
  <c r="G162" i="3"/>
  <c r="E162" i="3"/>
  <c r="E479" i="3" l="1"/>
  <c r="E238" i="3"/>
  <c r="E82" i="3"/>
  <c r="E75" i="3"/>
  <c r="E69" i="3"/>
  <c r="E500" i="3"/>
  <c r="E487" i="3"/>
  <c r="E477" i="3"/>
  <c r="E424" i="3"/>
  <c r="F544" i="3"/>
  <c r="G544" i="3"/>
  <c r="E547" i="3"/>
  <c r="E544" i="3" s="1"/>
  <c r="E464" i="3"/>
  <c r="E124" i="3"/>
  <c r="E107" i="3" l="1"/>
  <c r="E105" i="3"/>
  <c r="E103" i="3"/>
  <c r="E338" i="3"/>
  <c r="E339" i="3"/>
  <c r="F271" i="3"/>
  <c r="G271" i="3"/>
  <c r="E271" i="3"/>
  <c r="F269" i="3"/>
  <c r="G269" i="3"/>
  <c r="E269" i="3"/>
  <c r="E176" i="3"/>
  <c r="E564" i="3"/>
  <c r="E435" i="3"/>
  <c r="E345" i="3"/>
  <c r="E290" i="3"/>
  <c r="E274" i="3"/>
  <c r="F171" i="3" l="1"/>
  <c r="G171" i="3"/>
  <c r="E171" i="3"/>
  <c r="E165" i="3"/>
  <c r="E151" i="3"/>
  <c r="E149" i="3"/>
  <c r="E71" i="3"/>
  <c r="E72" i="3"/>
  <c r="E32" i="3"/>
  <c r="E19" i="3"/>
  <c r="E18" i="3" s="1"/>
  <c r="E17" i="3"/>
  <c r="F295" i="3" l="1"/>
  <c r="G295" i="3"/>
  <c r="E295" i="3"/>
  <c r="F293" i="3" l="1"/>
  <c r="G293" i="3"/>
  <c r="E293" i="3"/>
  <c r="G63" i="3" l="1"/>
  <c r="F63" i="3"/>
  <c r="G376" i="3"/>
  <c r="F376" i="3"/>
  <c r="G75" i="3"/>
  <c r="F75" i="3"/>
  <c r="E363" i="3"/>
  <c r="E455" i="3"/>
  <c r="E445" i="3"/>
  <c r="G180" i="3" l="1"/>
  <c r="G593" i="3"/>
  <c r="G595" i="3"/>
  <c r="E217" i="3" l="1"/>
  <c r="G327" i="3" l="1"/>
  <c r="G197" i="3"/>
  <c r="F358" i="3"/>
  <c r="G358" i="3"/>
  <c r="G596" i="3"/>
  <c r="F596" i="3"/>
  <c r="G538" i="3"/>
  <c r="F538" i="3"/>
  <c r="G532" i="3"/>
  <c r="F532" i="3"/>
  <c r="G483" i="3"/>
  <c r="F483" i="3"/>
  <c r="F180" i="3"/>
  <c r="F176" i="3"/>
  <c r="F595" i="3"/>
  <c r="F593" i="3"/>
  <c r="F327" i="3"/>
  <c r="F275" i="3"/>
  <c r="G275" i="3"/>
  <c r="E275" i="3"/>
  <c r="G274" i="3"/>
  <c r="F274" i="3"/>
  <c r="G203" i="3"/>
  <c r="F203" i="3"/>
  <c r="G167" i="3"/>
  <c r="F167" i="3"/>
  <c r="E223" i="3"/>
  <c r="F39" i="3"/>
  <c r="G39" i="3"/>
  <c r="E39" i="3"/>
  <c r="E538" i="3" l="1"/>
  <c r="G539" i="3"/>
  <c r="F539" i="3"/>
  <c r="E539" i="3"/>
  <c r="E532" i="3"/>
  <c r="E67" i="3"/>
  <c r="E497" i="3"/>
  <c r="F484" i="3"/>
  <c r="G484" i="3"/>
  <c r="E485" i="3"/>
  <c r="E484" i="3" s="1"/>
  <c r="E483" i="3"/>
  <c r="E482" i="3" s="1"/>
  <c r="F482" i="3"/>
  <c r="G482" i="3"/>
  <c r="F553" i="3"/>
  <c r="G553" i="3"/>
  <c r="E553" i="3"/>
  <c r="F550" i="3"/>
  <c r="G550" i="3"/>
  <c r="E550" i="3"/>
  <c r="F556" i="3"/>
  <c r="G556" i="3"/>
  <c r="E556" i="3"/>
  <c r="F543" i="3"/>
  <c r="G543" i="3"/>
  <c r="E543" i="3"/>
  <c r="E459" i="3"/>
  <c r="F450" i="3"/>
  <c r="F449" i="3" s="1"/>
  <c r="G450" i="3"/>
  <c r="G449" i="3" s="1"/>
  <c r="E450" i="3"/>
  <c r="E449" i="3" s="1"/>
  <c r="F443" i="3"/>
  <c r="G443" i="3"/>
  <c r="E443" i="3"/>
  <c r="F390" i="3"/>
  <c r="G390" i="3"/>
  <c r="E390" i="3"/>
  <c r="F388" i="3"/>
  <c r="G388" i="3"/>
  <c r="E388" i="3"/>
  <c r="F386" i="3"/>
  <c r="G386" i="3"/>
  <c r="E386" i="3"/>
  <c r="F362" i="3"/>
  <c r="G362" i="3"/>
  <c r="E362" i="3"/>
  <c r="F355" i="3"/>
  <c r="G355" i="3"/>
  <c r="E355" i="3"/>
  <c r="F106" i="3"/>
  <c r="G106" i="3"/>
  <c r="E106" i="3"/>
  <c r="E595" i="3"/>
  <c r="E588" i="3"/>
  <c r="E573" i="3"/>
  <c r="E376" i="3"/>
  <c r="E375" i="3" s="1"/>
  <c r="E374" i="3" s="1"/>
  <c r="F375" i="3"/>
  <c r="F374" i="3" s="1"/>
  <c r="G375" i="3"/>
  <c r="G374" i="3" s="1"/>
  <c r="E327" i="3"/>
  <c r="E265" i="3"/>
  <c r="E264" i="3" s="1"/>
  <c r="E263" i="3" s="1"/>
  <c r="F264" i="3"/>
  <c r="F263" i="3" s="1"/>
  <c r="G264" i="3"/>
  <c r="G263" i="3" s="1"/>
  <c r="F261" i="3"/>
  <c r="F260" i="3" s="1"/>
  <c r="G261" i="3"/>
  <c r="G260" i="3" s="1"/>
  <c r="E261" i="3"/>
  <c r="E260" i="3" s="1"/>
  <c r="E203" i="3"/>
  <c r="E197" i="3"/>
  <c r="F185" i="3"/>
  <c r="G185" i="3"/>
  <c r="E185" i="3"/>
  <c r="E167" i="3"/>
  <c r="E148" i="3"/>
  <c r="F148" i="3"/>
  <c r="G148" i="3"/>
  <c r="F47" i="3"/>
  <c r="F46" i="3" s="1"/>
  <c r="G47" i="3"/>
  <c r="G46" i="3" s="1"/>
  <c r="E47" i="3"/>
  <c r="E46" i="3" s="1"/>
  <c r="F42" i="3"/>
  <c r="G42" i="3"/>
  <c r="E42" i="3"/>
  <c r="F37" i="3"/>
  <c r="G37" i="3"/>
  <c r="E37" i="3"/>
  <c r="E31" i="3"/>
  <c r="E13" i="3"/>
  <c r="E28" i="3"/>
  <c r="E24" i="3"/>
  <c r="E22" i="3"/>
  <c r="F549" i="3" l="1"/>
  <c r="E549" i="3"/>
  <c r="G549" i="3"/>
  <c r="F36" i="3"/>
  <c r="E36" i="3"/>
  <c r="G36" i="3"/>
  <c r="E593" i="3"/>
  <c r="E582" i="3"/>
  <c r="G582" i="3"/>
  <c r="F582" i="3"/>
  <c r="F478" i="3"/>
  <c r="G478" i="3"/>
  <c r="E478" i="3"/>
  <c r="F396" i="3"/>
  <c r="F395" i="3" s="1"/>
  <c r="G396" i="3"/>
  <c r="G395" i="3" s="1"/>
  <c r="E358" i="3"/>
  <c r="E180" i="3"/>
  <c r="E81" i="3" l="1"/>
  <c r="F576" i="3" l="1"/>
  <c r="G576" i="3"/>
  <c r="E576" i="3"/>
  <c r="G332" i="3"/>
  <c r="G331" i="3" s="1"/>
  <c r="G330" i="3" s="1"/>
  <c r="G329" i="3" s="1"/>
  <c r="F332" i="3"/>
  <c r="F331" i="3" s="1"/>
  <c r="F330" i="3" s="1"/>
  <c r="F329" i="3" s="1"/>
  <c r="E332" i="3"/>
  <c r="E331" i="3" s="1"/>
  <c r="E330" i="3" s="1"/>
  <c r="E329" i="3" s="1"/>
  <c r="G522" i="3"/>
  <c r="F522" i="3"/>
  <c r="E522" i="3"/>
  <c r="G414" i="3"/>
  <c r="G413" i="3" s="1"/>
  <c r="F414" i="3"/>
  <c r="F413" i="3" s="1"/>
  <c r="E414" i="3"/>
  <c r="E413" i="3" s="1"/>
  <c r="E396" i="3"/>
  <c r="E395" i="3" s="1"/>
  <c r="G365" i="3"/>
  <c r="G364" i="3" s="1"/>
  <c r="F365" i="3"/>
  <c r="F364" i="3" s="1"/>
  <c r="E365" i="3"/>
  <c r="E364" i="3" s="1"/>
  <c r="G360" i="3"/>
  <c r="G357" i="3" s="1"/>
  <c r="F360" i="3"/>
  <c r="F357" i="3" s="1"/>
  <c r="E360" i="3"/>
  <c r="E357" i="3" s="1"/>
  <c r="G337" i="3"/>
  <c r="G336" i="3" s="1"/>
  <c r="G335" i="3" s="1"/>
  <c r="G334" i="3" s="1"/>
  <c r="F337" i="3"/>
  <c r="F336" i="3" s="1"/>
  <c r="F335" i="3" s="1"/>
  <c r="F334" i="3" s="1"/>
  <c r="E337" i="3"/>
  <c r="E336" i="3" s="1"/>
  <c r="E335" i="3" s="1"/>
  <c r="E334" i="3" s="1"/>
  <c r="G344" i="3"/>
  <c r="G343" i="3" s="1"/>
  <c r="G342" i="3" s="1"/>
  <c r="F344" i="3"/>
  <c r="F343" i="3" s="1"/>
  <c r="F342" i="3" s="1"/>
  <c r="E344" i="3"/>
  <c r="E343" i="3" s="1"/>
  <c r="E342" i="3" s="1"/>
  <c r="G322" i="3"/>
  <c r="F322" i="3"/>
  <c r="E322" i="3"/>
  <c r="G320" i="3"/>
  <c r="F320" i="3"/>
  <c r="E320" i="3"/>
  <c r="G318" i="3"/>
  <c r="F318" i="3"/>
  <c r="E318" i="3"/>
  <c r="G326" i="3"/>
  <c r="G325" i="3" s="1"/>
  <c r="G324" i="3" s="1"/>
  <c r="F326" i="3"/>
  <c r="F325" i="3" s="1"/>
  <c r="F324" i="3" s="1"/>
  <c r="E326" i="3"/>
  <c r="E325" i="3" s="1"/>
  <c r="E324" i="3" s="1"/>
  <c r="G291" i="3"/>
  <c r="F291" i="3"/>
  <c r="E291" i="3"/>
  <c r="G289" i="3"/>
  <c r="F289" i="3"/>
  <c r="E289" i="3"/>
  <c r="G287" i="3"/>
  <c r="F287" i="3"/>
  <c r="E287" i="3"/>
  <c r="G285" i="3"/>
  <c r="F285" i="3"/>
  <c r="E285" i="3"/>
  <c r="G283" i="3"/>
  <c r="F283" i="3"/>
  <c r="E283" i="3"/>
  <c r="G281" i="3"/>
  <c r="F281" i="3"/>
  <c r="E281" i="3"/>
  <c r="G279" i="3"/>
  <c r="F279" i="3"/>
  <c r="E279" i="3"/>
  <c r="G273" i="3"/>
  <c r="F273" i="3"/>
  <c r="E273" i="3"/>
  <c r="E306" i="3"/>
  <c r="G306" i="3"/>
  <c r="F306" i="3"/>
  <c r="G304" i="3"/>
  <c r="F304" i="3"/>
  <c r="E304" i="3"/>
  <c r="G301" i="3"/>
  <c r="G300" i="3" s="1"/>
  <c r="F301" i="3"/>
  <c r="F300" i="3" s="1"/>
  <c r="E301" i="3"/>
  <c r="E300" i="3" s="1"/>
  <c r="G297" i="3"/>
  <c r="G266" i="3" s="1"/>
  <c r="F297" i="3"/>
  <c r="F266" i="3" s="1"/>
  <c r="E297" i="3"/>
  <c r="E266" i="3" s="1"/>
  <c r="F259" i="3" l="1"/>
  <c r="F328" i="3"/>
  <c r="E328" i="3"/>
  <c r="G328" i="3"/>
  <c r="G303" i="3"/>
  <c r="G259" i="3" s="1"/>
  <c r="F303" i="3"/>
  <c r="E303" i="3"/>
  <c r="E259" i="3" s="1"/>
  <c r="E258" i="3" l="1"/>
  <c r="G233" i="3"/>
  <c r="F233" i="3"/>
  <c r="E233" i="3"/>
  <c r="G231" i="3"/>
  <c r="F231" i="3"/>
  <c r="E231" i="3"/>
  <c r="G222" i="3"/>
  <c r="F222" i="3"/>
  <c r="E222" i="3"/>
  <c r="G216" i="3"/>
  <c r="F216" i="3"/>
  <c r="E216" i="3"/>
  <c r="G212" i="3"/>
  <c r="F212" i="3"/>
  <c r="E212" i="3"/>
  <c r="G209" i="3"/>
  <c r="G208" i="3" s="1"/>
  <c r="F209" i="3"/>
  <c r="F208" i="3" s="1"/>
  <c r="E209" i="3"/>
  <c r="E208" i="3" s="1"/>
  <c r="G205" i="3"/>
  <c r="G204" i="3" s="1"/>
  <c r="F205" i="3"/>
  <c r="F204" i="3" s="1"/>
  <c r="E205" i="3"/>
  <c r="E204" i="3" s="1"/>
  <c r="G202" i="3"/>
  <c r="F202" i="3"/>
  <c r="E202" i="3"/>
  <c r="F197" i="3"/>
  <c r="F196" i="3" s="1"/>
  <c r="F195" i="3" s="1"/>
  <c r="F194" i="3" s="1"/>
  <c r="E196" i="3"/>
  <c r="G196" i="3"/>
  <c r="G195" i="3" s="1"/>
  <c r="G194" i="3" s="1"/>
  <c r="E195" i="3" l="1"/>
  <c r="E194" i="3" s="1"/>
  <c r="G77" i="3"/>
  <c r="F77" i="3"/>
  <c r="E77" i="3"/>
  <c r="G190" i="3"/>
  <c r="G189" i="3" s="1"/>
  <c r="G188" i="3" s="1"/>
  <c r="G187" i="3" s="1"/>
  <c r="F190" i="3"/>
  <c r="F189" i="3" s="1"/>
  <c r="F188" i="3" s="1"/>
  <c r="F187" i="3" s="1"/>
  <c r="E190" i="3"/>
  <c r="E189" i="3" s="1"/>
  <c r="E188" i="3" s="1"/>
  <c r="E187" i="3" s="1"/>
  <c r="G177" i="3"/>
  <c r="F177" i="3"/>
  <c r="E177" i="3"/>
  <c r="G173" i="3"/>
  <c r="F173" i="3"/>
  <c r="E173" i="3"/>
  <c r="G164" i="3"/>
  <c r="F164" i="3"/>
  <c r="E164" i="3"/>
  <c r="F143" i="3"/>
  <c r="F142" i="3" s="1"/>
  <c r="E143" i="3"/>
  <c r="E142" i="3" s="1"/>
  <c r="G142" i="3"/>
  <c r="G55" i="3" l="1"/>
  <c r="F55" i="3"/>
  <c r="E55" i="3"/>
  <c r="G53" i="3"/>
  <c r="F53" i="3"/>
  <c r="G52" i="3"/>
  <c r="F52" i="3"/>
  <c r="F94" i="3"/>
  <c r="G94" i="3"/>
  <c r="E94" i="3"/>
  <c r="F244" i="3"/>
  <c r="F241" i="3" s="1"/>
  <c r="G244" i="3"/>
  <c r="G241" i="3" s="1"/>
  <c r="E244" i="3"/>
  <c r="E241" i="3" s="1"/>
  <c r="F183" i="3"/>
  <c r="G183" i="3"/>
  <c r="E183" i="3"/>
  <c r="F181" i="3"/>
  <c r="G181" i="3"/>
  <c r="E181" i="3"/>
  <c r="G179" i="3"/>
  <c r="F179" i="3"/>
  <c r="E179" i="3"/>
  <c r="G594" i="3"/>
  <c r="F594" i="3"/>
  <c r="E594" i="3"/>
  <c r="E51" i="3" l="1"/>
  <c r="F587" i="3"/>
  <c r="G587" i="3"/>
  <c r="E587" i="3"/>
  <c r="E463" i="3" l="1"/>
  <c r="E454" i="3"/>
  <c r="E453" i="3" s="1"/>
  <c r="F428" i="3"/>
  <c r="G428" i="3"/>
  <c r="E428" i="3"/>
  <c r="E441" i="3"/>
  <c r="F400" i="3"/>
  <c r="G400" i="3"/>
  <c r="E400" i="3"/>
  <c r="G267" i="3" l="1"/>
  <c r="F267" i="3"/>
  <c r="E267" i="3"/>
  <c r="G277" i="3"/>
  <c r="F277" i="3"/>
  <c r="E277" i="3"/>
  <c r="G169" i="3" l="1"/>
  <c r="F169" i="3"/>
  <c r="E169" i="3"/>
  <c r="F114" i="3"/>
  <c r="G114" i="3"/>
  <c r="E114" i="3"/>
  <c r="F74" i="3" l="1"/>
  <c r="G74" i="3"/>
  <c r="E74" i="3"/>
  <c r="F441" i="3" l="1"/>
  <c r="G441" i="3"/>
  <c r="F531" i="3" l="1"/>
  <c r="F530" i="3" s="1"/>
  <c r="F529" i="3" s="1"/>
  <c r="G531" i="3"/>
  <c r="G530" i="3" s="1"/>
  <c r="G529" i="3" s="1"/>
  <c r="F411" i="3"/>
  <c r="G411" i="3"/>
  <c r="G410" i="3" s="1"/>
  <c r="E411" i="3"/>
  <c r="E410" i="3" l="1"/>
  <c r="F410" i="3"/>
  <c r="E531" i="3"/>
  <c r="E530" i="3" s="1"/>
  <c r="E529" i="3" s="1"/>
  <c r="F393" i="3" l="1"/>
  <c r="F392" i="3" s="1"/>
  <c r="G393" i="3"/>
  <c r="G392" i="3" s="1"/>
  <c r="E393" i="3"/>
  <c r="E392" i="3" s="1"/>
  <c r="F312" i="3"/>
  <c r="G312" i="3"/>
  <c r="E312" i="3"/>
  <c r="G45" i="3" l="1"/>
  <c r="G44" i="3" s="1"/>
  <c r="F45" i="3"/>
  <c r="F44" i="3" s="1"/>
  <c r="E492" i="3"/>
  <c r="F469" i="3"/>
  <c r="G469" i="3"/>
  <c r="G468" i="3" s="1"/>
  <c r="E469" i="3"/>
  <c r="G454" i="3"/>
  <c r="G453" i="3" s="1"/>
  <c r="F454" i="3"/>
  <c r="F453" i="3" l="1"/>
  <c r="F468" i="3"/>
  <c r="E45" i="3"/>
  <c r="E44" i="3" s="1"/>
  <c r="E468" i="3"/>
  <c r="G166" i="3" l="1"/>
  <c r="E574" i="3"/>
  <c r="F574" i="3"/>
  <c r="G574" i="3"/>
  <c r="E229" i="3" l="1"/>
  <c r="E228" i="3" s="1"/>
  <c r="E227" i="3" s="1"/>
  <c r="F229" i="3"/>
  <c r="F228" i="3" s="1"/>
  <c r="F227" i="3" s="1"/>
  <c r="G229" i="3"/>
  <c r="G228" i="3" s="1"/>
  <c r="G227" i="3" s="1"/>
  <c r="F592" i="3" l="1"/>
  <c r="F591" i="3" s="1"/>
  <c r="G592" i="3"/>
  <c r="G586" i="3"/>
  <c r="G585" i="3" s="1"/>
  <c r="G584" i="3" s="1"/>
  <c r="F563" i="3"/>
  <c r="G563" i="3"/>
  <c r="G562" i="3" s="1"/>
  <c r="G561" i="3" s="1"/>
  <c r="F568" i="3"/>
  <c r="G568" i="3"/>
  <c r="G567" i="3" s="1"/>
  <c r="F571" i="3"/>
  <c r="G571" i="3"/>
  <c r="F579" i="3"/>
  <c r="G579" i="3"/>
  <c r="F537" i="3"/>
  <c r="F536" i="3" s="1"/>
  <c r="G537" i="3"/>
  <c r="G536" i="3" s="1"/>
  <c r="F476" i="3"/>
  <c r="G476" i="3"/>
  <c r="G475" i="3" s="1"/>
  <c r="G474" i="3" s="1"/>
  <c r="F486" i="3"/>
  <c r="F481" i="3" s="1"/>
  <c r="G486" i="3"/>
  <c r="G481" i="3" s="1"/>
  <c r="F492" i="3"/>
  <c r="G492" i="3"/>
  <c r="G491" i="3" s="1"/>
  <c r="G490" i="3" s="1"/>
  <c r="F496" i="3"/>
  <c r="G496" i="3"/>
  <c r="F499" i="3"/>
  <c r="G499" i="3"/>
  <c r="F502" i="3"/>
  <c r="G502" i="3"/>
  <c r="G501" i="3" s="1"/>
  <c r="E458" i="3"/>
  <c r="F458" i="3"/>
  <c r="G458" i="3"/>
  <c r="F463" i="3"/>
  <c r="G463" i="3"/>
  <c r="F430" i="3"/>
  <c r="F427" i="3" s="1"/>
  <c r="G430" i="3"/>
  <c r="G427" i="3" s="1"/>
  <c r="E430" i="3"/>
  <c r="E427" i="3" s="1"/>
  <c r="G408" i="3"/>
  <c r="G407" i="3" s="1"/>
  <c r="G406" i="3" s="1"/>
  <c r="F408" i="3"/>
  <c r="F418" i="3"/>
  <c r="F417" i="3" s="1"/>
  <c r="G418" i="3"/>
  <c r="F423" i="3"/>
  <c r="F422" i="3" s="1"/>
  <c r="G423" i="3"/>
  <c r="G422" i="3" s="1"/>
  <c r="F434" i="3"/>
  <c r="G434" i="3"/>
  <c r="G433" i="3" s="1"/>
  <c r="F439" i="3"/>
  <c r="F438" i="3" s="1"/>
  <c r="G439" i="3"/>
  <c r="G438" i="3" s="1"/>
  <c r="F353" i="3"/>
  <c r="F352" i="3" s="1"/>
  <c r="G353" i="3"/>
  <c r="G352" i="3" s="1"/>
  <c r="F369" i="3"/>
  <c r="F368" i="3" s="1"/>
  <c r="G369" i="3"/>
  <c r="G368" i="3" s="1"/>
  <c r="F378" i="3"/>
  <c r="G378" i="3"/>
  <c r="F380" i="3"/>
  <c r="G380" i="3"/>
  <c r="F382" i="3"/>
  <c r="G382" i="3"/>
  <c r="F384" i="3"/>
  <c r="G384" i="3"/>
  <c r="F402" i="3"/>
  <c r="G402" i="3"/>
  <c r="F377" i="3" l="1"/>
  <c r="F373" i="3" s="1"/>
  <c r="G377" i="3"/>
  <c r="G373" i="3" s="1"/>
  <c r="G351" i="3"/>
  <c r="F351" i="3"/>
  <c r="G548" i="3"/>
  <c r="G480" i="3"/>
  <c r="G473" i="3" s="1"/>
  <c r="G472" i="3" s="1"/>
  <c r="G535" i="3"/>
  <c r="G534" i="3" s="1"/>
  <c r="G448" i="3"/>
  <c r="G542" i="3"/>
  <c r="G591" i="3"/>
  <c r="G590" i="3" s="1"/>
  <c r="G589" i="3" s="1"/>
  <c r="G417" i="3"/>
  <c r="G416" i="3" s="1"/>
  <c r="G405" i="3" s="1"/>
  <c r="F501" i="3"/>
  <c r="F567" i="3"/>
  <c r="F407" i="3"/>
  <c r="F406" i="3" s="1"/>
  <c r="F562" i="3"/>
  <c r="F561" i="3" s="1"/>
  <c r="F433" i="3"/>
  <c r="F491" i="3"/>
  <c r="G457" i="3"/>
  <c r="G456" i="3" s="1"/>
  <c r="G421" i="3"/>
  <c r="G420" i="3" s="1"/>
  <c r="F457" i="3"/>
  <c r="G495" i="3"/>
  <c r="G494" i="3" s="1"/>
  <c r="G489" i="3" s="1"/>
  <c r="G488" i="3" s="1"/>
  <c r="G570" i="3"/>
  <c r="F570" i="3"/>
  <c r="G560" i="3"/>
  <c r="F495" i="3"/>
  <c r="F475" i="3"/>
  <c r="F474" i="3" s="1"/>
  <c r="G426" i="3"/>
  <c r="G437" i="3"/>
  <c r="G399" i="3"/>
  <c r="G398" i="3" s="1"/>
  <c r="F399" i="3"/>
  <c r="G367" i="3"/>
  <c r="G447" i="3" l="1"/>
  <c r="G446" i="3" s="1"/>
  <c r="G541" i="3"/>
  <c r="G533" i="3" s="1"/>
  <c r="F566" i="3"/>
  <c r="G566" i="3"/>
  <c r="G565" i="3" s="1"/>
  <c r="F421" i="3"/>
  <c r="F586" i="3"/>
  <c r="F448" i="3"/>
  <c r="F542" i="3"/>
  <c r="F437" i="3"/>
  <c r="F494" i="3"/>
  <c r="F548" i="3"/>
  <c r="F367" i="3"/>
  <c r="F560" i="3"/>
  <c r="F490" i="3"/>
  <c r="F426" i="3"/>
  <c r="F416" i="3"/>
  <c r="F535" i="3"/>
  <c r="F534" i="3" s="1"/>
  <c r="F480" i="3"/>
  <c r="F590" i="3"/>
  <c r="F398" i="3"/>
  <c r="F456" i="3"/>
  <c r="G404" i="3"/>
  <c r="G436" i="3"/>
  <c r="G425" i="3" s="1"/>
  <c r="G471" i="3"/>
  <c r="G372" i="3"/>
  <c r="G371" i="3" s="1"/>
  <c r="G350" i="3"/>
  <c r="G349" i="3" s="1"/>
  <c r="G559" i="3" l="1"/>
  <c r="F405" i="3"/>
  <c r="F447" i="3"/>
  <c r="F565" i="3"/>
  <c r="F589" i="3"/>
  <c r="F473" i="3"/>
  <c r="F472" i="3" s="1"/>
  <c r="F489" i="3"/>
  <c r="F488" i="3" s="1"/>
  <c r="F585" i="3"/>
  <c r="F584" i="3" s="1"/>
  <c r="F420" i="3"/>
  <c r="F372" i="3"/>
  <c r="F371" i="3" s="1"/>
  <c r="F350" i="3"/>
  <c r="F349" i="3" s="1"/>
  <c r="F436" i="3"/>
  <c r="F425" i="3" s="1"/>
  <c r="F541" i="3"/>
  <c r="F533" i="3" s="1"/>
  <c r="G348" i="3"/>
  <c r="F559" i="3" l="1"/>
  <c r="F446" i="3"/>
  <c r="F404" i="3"/>
  <c r="E542" i="3"/>
  <c r="E592" i="3"/>
  <c r="E591" i="3" s="1"/>
  <c r="F348" i="3" l="1"/>
  <c r="F471" i="3"/>
  <c r="E586" i="3" l="1"/>
  <c r="E590" i="3"/>
  <c r="E589" i="3" l="1"/>
  <c r="E585" i="3"/>
  <c r="E584" i="3" s="1"/>
  <c r="E571" i="3" l="1"/>
  <c r="E570" i="3" l="1"/>
  <c r="E568" i="3"/>
  <c r="E567" i="3" l="1"/>
  <c r="E566" i="3" s="1"/>
  <c r="E563" i="3" l="1"/>
  <c r="E565" i="3" l="1"/>
  <c r="E562" i="3"/>
  <c r="E537" i="3"/>
  <c r="E536" i="3" s="1"/>
  <c r="E561" i="3" l="1"/>
  <c r="G527" i="3"/>
  <c r="F527" i="3"/>
  <c r="E548" i="3" l="1"/>
  <c r="E560" i="3"/>
  <c r="E535" i="3"/>
  <c r="E534" i="3" s="1"/>
  <c r="E527" i="3"/>
  <c r="F526" i="3"/>
  <c r="G520" i="3"/>
  <c r="F520" i="3"/>
  <c r="E520" i="3"/>
  <c r="G518" i="3"/>
  <c r="F518" i="3"/>
  <c r="E518" i="3"/>
  <c r="G516" i="3"/>
  <c r="F516" i="3"/>
  <c r="E516" i="3"/>
  <c r="G514" i="3"/>
  <c r="F514" i="3"/>
  <c r="E514" i="3"/>
  <c r="G512" i="3"/>
  <c r="F512" i="3"/>
  <c r="E512" i="3"/>
  <c r="G511" i="3" l="1"/>
  <c r="F511" i="3"/>
  <c r="E511" i="3"/>
  <c r="E559" i="3"/>
  <c r="G526" i="3"/>
  <c r="E541" i="3"/>
  <c r="E533" i="3" s="1"/>
  <c r="E526" i="3"/>
  <c r="G525" i="3" l="1"/>
  <c r="F525" i="3"/>
  <c r="F524" i="3" s="1"/>
  <c r="F510" i="3" s="1"/>
  <c r="G508" i="3"/>
  <c r="G507" i="3" s="1"/>
  <c r="F508" i="3"/>
  <c r="E508" i="3"/>
  <c r="E502" i="3"/>
  <c r="E499" i="3"/>
  <c r="E496" i="3"/>
  <c r="E491" i="3"/>
  <c r="E486" i="3"/>
  <c r="E481" i="3" s="1"/>
  <c r="E476" i="3"/>
  <c r="G524" i="3" l="1"/>
  <c r="G510" i="3" s="1"/>
  <c r="E490" i="3"/>
  <c r="E507" i="3"/>
  <c r="E506" i="3" s="1"/>
  <c r="E501" i="3"/>
  <c r="E475" i="3"/>
  <c r="E474" i="3" s="1"/>
  <c r="F507" i="3"/>
  <c r="E495" i="3"/>
  <c r="G506" i="3"/>
  <c r="E525" i="3"/>
  <c r="E524" i="3" s="1"/>
  <c r="E510" i="3" s="1"/>
  <c r="E439" i="3"/>
  <c r="E438" i="3" s="1"/>
  <c r="E494" i="3" l="1"/>
  <c r="E480" i="3"/>
  <c r="F506" i="3"/>
  <c r="G505" i="3"/>
  <c r="E434" i="3"/>
  <c r="E433" i="3" s="1"/>
  <c r="E426" i="3" s="1"/>
  <c r="E423" i="3"/>
  <c r="E422" i="3" s="1"/>
  <c r="E418" i="3"/>
  <c r="E417" i="3" s="1"/>
  <c r="E408" i="3"/>
  <c r="E402" i="3"/>
  <c r="E384" i="3"/>
  <c r="E382" i="3"/>
  <c r="E380" i="3"/>
  <c r="E378" i="3"/>
  <c r="E369" i="3"/>
  <c r="E368" i="3" s="1"/>
  <c r="E353" i="3"/>
  <c r="E352" i="3" s="1"/>
  <c r="E377" i="3" l="1"/>
  <c r="E373" i="3" s="1"/>
  <c r="E351" i="3"/>
  <c r="F505" i="3"/>
  <c r="E473" i="3"/>
  <c r="E472" i="3" s="1"/>
  <c r="E457" i="3"/>
  <c r="E489" i="3"/>
  <c r="E488" i="3" s="1"/>
  <c r="E448" i="3"/>
  <c r="E407" i="3"/>
  <c r="E406" i="3" s="1"/>
  <c r="E399" i="3"/>
  <c r="G316" i="3"/>
  <c r="F316" i="3"/>
  <c r="E316" i="3"/>
  <c r="G314" i="3"/>
  <c r="F314" i="3"/>
  <c r="E314" i="3"/>
  <c r="E311" i="3" l="1"/>
  <c r="E310" i="3" s="1"/>
  <c r="F311" i="3"/>
  <c r="F310" i="3" s="1"/>
  <c r="F309" i="3" s="1"/>
  <c r="F308" i="3" s="1"/>
  <c r="G311" i="3"/>
  <c r="G310" i="3" s="1"/>
  <c r="G309" i="3" s="1"/>
  <c r="G308" i="3" s="1"/>
  <c r="E367" i="3"/>
  <c r="E350" i="3" s="1"/>
  <c r="E416" i="3"/>
  <c r="E398" i="3"/>
  <c r="E505" i="3"/>
  <c r="E437" i="3"/>
  <c r="E421" i="3"/>
  <c r="E456" i="3"/>
  <c r="G255" i="3"/>
  <c r="F255" i="3"/>
  <c r="E255" i="3"/>
  <c r="G253" i="3"/>
  <c r="F253" i="3"/>
  <c r="E253" i="3"/>
  <c r="G249" i="3"/>
  <c r="F249" i="3"/>
  <c r="E249" i="3"/>
  <c r="G247" i="3"/>
  <c r="F247" i="3"/>
  <c r="E247" i="3"/>
  <c r="G242" i="3"/>
  <c r="F242" i="3"/>
  <c r="E242" i="3"/>
  <c r="G237" i="3"/>
  <c r="G236" i="3" s="1"/>
  <c r="F237" i="3"/>
  <c r="E237" i="3"/>
  <c r="G224" i="3"/>
  <c r="G220" i="3" s="1"/>
  <c r="F224" i="3"/>
  <c r="F220" i="3" s="1"/>
  <c r="E224" i="3"/>
  <c r="E220" i="3" s="1"/>
  <c r="E405" i="3" l="1"/>
  <c r="E236" i="3"/>
  <c r="E235" i="3" s="1"/>
  <c r="E226" i="3" s="1"/>
  <c r="E447" i="3"/>
  <c r="E420" i="3"/>
  <c r="E436" i="3"/>
  <c r="E425" i="3" s="1"/>
  <c r="E372" i="3"/>
  <c r="E371" i="3" s="1"/>
  <c r="E349" i="3"/>
  <c r="E471" i="3"/>
  <c r="E252" i="3"/>
  <c r="E246" i="3"/>
  <c r="F246" i="3"/>
  <c r="F252" i="3"/>
  <c r="G252" i="3"/>
  <c r="G251" i="3" s="1"/>
  <c r="G246" i="3"/>
  <c r="G235" i="3"/>
  <c r="G226" i="3" s="1"/>
  <c r="F236" i="3"/>
  <c r="G214" i="3"/>
  <c r="G211" i="3" s="1"/>
  <c r="F214" i="3"/>
  <c r="F211" i="3" s="1"/>
  <c r="E214" i="3"/>
  <c r="E211" i="3" s="1"/>
  <c r="E207" i="3" s="1"/>
  <c r="G200" i="3"/>
  <c r="G199" i="3" s="1"/>
  <c r="G198" i="3" s="1"/>
  <c r="G193" i="3" s="1"/>
  <c r="F200" i="3"/>
  <c r="F199" i="3" s="1"/>
  <c r="F198" i="3" s="1"/>
  <c r="F193" i="3" s="1"/>
  <c r="E200" i="3"/>
  <c r="G175" i="3"/>
  <c r="F175" i="3"/>
  <c r="E175" i="3"/>
  <c r="F166" i="3"/>
  <c r="E166" i="3"/>
  <c r="G160" i="3" l="1"/>
  <c r="E160" i="3"/>
  <c r="E159" i="3" s="1"/>
  <c r="E199" i="3"/>
  <c r="E198" i="3" s="1"/>
  <c r="E193" i="3" s="1"/>
  <c r="E192" i="3" s="1"/>
  <c r="F160" i="3"/>
  <c r="E404" i="3"/>
  <c r="E309" i="3"/>
  <c r="E308" i="3" s="1"/>
  <c r="E251" i="3"/>
  <c r="E240" i="3"/>
  <c r="E257" i="3"/>
  <c r="E446" i="3"/>
  <c r="G258" i="3"/>
  <c r="G257" i="3" s="1"/>
  <c r="F251" i="3"/>
  <c r="G207" i="3"/>
  <c r="F240" i="3"/>
  <c r="G240" i="3"/>
  <c r="G239" i="3" s="1"/>
  <c r="F235" i="3"/>
  <c r="F226" i="3" s="1"/>
  <c r="F207" i="3" l="1"/>
  <c r="E239" i="3"/>
  <c r="E219" i="3" s="1"/>
  <c r="E348" i="3"/>
  <c r="F258" i="3"/>
  <c r="F257" i="3" s="1"/>
  <c r="F239" i="3"/>
  <c r="G219" i="3"/>
  <c r="G156" i="3"/>
  <c r="F156" i="3"/>
  <c r="E156" i="3"/>
  <c r="G154" i="3"/>
  <c r="F154" i="3"/>
  <c r="E154" i="3"/>
  <c r="G152" i="3"/>
  <c r="F152" i="3"/>
  <c r="E152" i="3"/>
  <c r="G150" i="3"/>
  <c r="F150" i="3"/>
  <c r="E150" i="3"/>
  <c r="G140" i="3"/>
  <c r="G139" i="3" s="1"/>
  <c r="F140" i="3"/>
  <c r="F139" i="3" s="1"/>
  <c r="E140" i="3"/>
  <c r="E139" i="3" s="1"/>
  <c r="G134" i="3"/>
  <c r="F134" i="3"/>
  <c r="E134" i="3"/>
  <c r="G132" i="3"/>
  <c r="F132" i="3"/>
  <c r="E132" i="3"/>
  <c r="G123" i="3"/>
  <c r="F123" i="3"/>
  <c r="E123" i="3"/>
  <c r="G118" i="3"/>
  <c r="F118" i="3"/>
  <c r="E118" i="3"/>
  <c r="G110" i="3"/>
  <c r="G109" i="3" s="1"/>
  <c r="F110" i="3"/>
  <c r="F109" i="3" s="1"/>
  <c r="E110" i="3"/>
  <c r="E109" i="3" s="1"/>
  <c r="G104" i="3"/>
  <c r="G101" i="3" s="1"/>
  <c r="F104" i="3"/>
  <c r="F101" i="3" s="1"/>
  <c r="E104" i="3"/>
  <c r="E101" i="3" s="1"/>
  <c r="G92" i="3"/>
  <c r="F92" i="3"/>
  <c r="E92" i="3"/>
  <c r="G147" i="3" l="1"/>
  <c r="F147" i="3"/>
  <c r="E147" i="3"/>
  <c r="G138" i="3"/>
  <c r="E91" i="3"/>
  <c r="G108" i="3"/>
  <c r="F219" i="3"/>
  <c r="E131" i="3"/>
  <c r="F131" i="3"/>
  <c r="G131" i="3"/>
  <c r="G130" i="3" s="1"/>
  <c r="G122" i="3"/>
  <c r="F122" i="3" s="1"/>
  <c r="G218" i="3"/>
  <c r="G117" i="3"/>
  <c r="G159" i="3"/>
  <c r="G158" i="3" s="1"/>
  <c r="G192" i="3"/>
  <c r="F117" i="3"/>
  <c r="E122" i="3"/>
  <c r="E117" i="3"/>
  <c r="G100" i="3"/>
  <c r="G91" i="3"/>
  <c r="F91" i="3"/>
  <c r="G87" i="3"/>
  <c r="F87" i="3"/>
  <c r="E87" i="3"/>
  <c r="G81" i="3"/>
  <c r="G80" i="3" s="1"/>
  <c r="F81" i="3"/>
  <c r="E76" i="3"/>
  <c r="G70" i="3"/>
  <c r="F70" i="3"/>
  <c r="E70" i="3"/>
  <c r="G66" i="3"/>
  <c r="F66" i="3"/>
  <c r="E66" i="3"/>
  <c r="E65" i="3" l="1"/>
  <c r="E90" i="3"/>
  <c r="E218" i="3"/>
  <c r="E80" i="3"/>
  <c r="E79" i="3" s="1"/>
  <c r="E108" i="3"/>
  <c r="E100" i="3"/>
  <c r="E138" i="3"/>
  <c r="F218" i="3"/>
  <c r="F192" i="3"/>
  <c r="F159" i="3"/>
  <c r="F158" i="3" s="1"/>
  <c r="F130" i="3"/>
  <c r="F138" i="3"/>
  <c r="F108" i="3"/>
  <c r="G146" i="3"/>
  <c r="F80" i="3"/>
  <c r="G79" i="3"/>
  <c r="F100" i="3"/>
  <c r="G116" i="3"/>
  <c r="F116" i="3" s="1"/>
  <c r="E116" i="3"/>
  <c r="G86" i="3"/>
  <c r="F86" i="3" s="1"/>
  <c r="G90" i="3"/>
  <c r="F90" i="3" s="1"/>
  <c r="G76" i="3"/>
  <c r="F76" i="3" s="1"/>
  <c r="F65" i="3" s="1"/>
  <c r="E86" i="3"/>
  <c r="G121" i="3"/>
  <c r="F121" i="3" s="1"/>
  <c r="E121" i="3"/>
  <c r="G129" i="3"/>
  <c r="G137" i="3"/>
  <c r="G62" i="3"/>
  <c r="F62" i="3"/>
  <c r="E62" i="3"/>
  <c r="E58" i="3"/>
  <c r="G65" i="3" l="1"/>
  <c r="F146" i="3"/>
  <c r="F145" i="3" s="1"/>
  <c r="G145" i="3"/>
  <c r="E137" i="3"/>
  <c r="E136" i="3" s="1"/>
  <c r="E57" i="3"/>
  <c r="E146" i="3"/>
  <c r="E145" i="3" s="1"/>
  <c r="E130" i="3"/>
  <c r="E99" i="3"/>
  <c r="E98" i="3" s="1"/>
  <c r="F129" i="3"/>
  <c r="F137" i="3"/>
  <c r="F79" i="3"/>
  <c r="F51" i="3"/>
  <c r="G51" i="3"/>
  <c r="G50" i="3" s="1"/>
  <c r="G85" i="3"/>
  <c r="F85" i="3" s="1"/>
  <c r="E85" i="3"/>
  <c r="G136" i="3"/>
  <c r="G89" i="3"/>
  <c r="F89" i="3" s="1"/>
  <c r="E89" i="3"/>
  <c r="G61" i="3"/>
  <c r="F61" i="3" s="1"/>
  <c r="G99" i="3"/>
  <c r="G98" i="3" s="1"/>
  <c r="G78" i="3"/>
  <c r="E78" i="3"/>
  <c r="G128" i="3"/>
  <c r="G31" i="3"/>
  <c r="F31" i="3"/>
  <c r="G27" i="3"/>
  <c r="F27" i="3"/>
  <c r="E27" i="3"/>
  <c r="G23" i="3"/>
  <c r="F23" i="3"/>
  <c r="E23" i="3"/>
  <c r="G21" i="3"/>
  <c r="F21" i="3"/>
  <c r="E21" i="3"/>
  <c r="G18" i="3"/>
  <c r="F18" i="3"/>
  <c r="G16" i="3"/>
  <c r="F16" i="3"/>
  <c r="E16" i="3"/>
  <c r="G144" i="3" l="1"/>
  <c r="G127" i="3" s="1"/>
  <c r="F99" i="3"/>
  <c r="G97" i="3"/>
  <c r="E144" i="3"/>
  <c r="E50" i="3"/>
  <c r="G30" i="3"/>
  <c r="F144" i="3"/>
  <c r="E129" i="3"/>
  <c r="E61" i="3"/>
  <c r="E60" i="3" s="1"/>
  <c r="E56" i="3"/>
  <c r="F128" i="3"/>
  <c r="F136" i="3"/>
  <c r="F78" i="3"/>
  <c r="F50" i="3"/>
  <c r="G15" i="3"/>
  <c r="G49" i="3"/>
  <c r="G84" i="3"/>
  <c r="F84" i="3" s="1"/>
  <c r="E84" i="3"/>
  <c r="E64" i="3" s="1"/>
  <c r="G60" i="3"/>
  <c r="F60" i="3" s="1"/>
  <c r="F15" i="3"/>
  <c r="E15" i="3"/>
  <c r="G12" i="3"/>
  <c r="F12" i="3"/>
  <c r="E12" i="3"/>
  <c r="F98" i="3" l="1"/>
  <c r="F97" i="3" s="1"/>
  <c r="F64" i="3"/>
  <c r="G64" i="3"/>
  <c r="E49" i="3"/>
  <c r="E30" i="3"/>
  <c r="E128" i="3"/>
  <c r="F127" i="3"/>
  <c r="F49" i="3"/>
  <c r="G14" i="3"/>
  <c r="F14" i="3"/>
  <c r="G11" i="3"/>
  <c r="G29" i="3"/>
  <c r="E97" i="3"/>
  <c r="E11" i="3"/>
  <c r="E14" i="3"/>
  <c r="F30" i="3"/>
  <c r="F11" i="3" l="1"/>
  <c r="F29" i="3"/>
  <c r="E127" i="3"/>
  <c r="G10" i="3"/>
  <c r="G9" i="3" s="1"/>
  <c r="G598" i="3" s="1"/>
  <c r="E10" i="3"/>
  <c r="E29" i="3" l="1"/>
  <c r="F10" i="3"/>
  <c r="E9" i="3" l="1"/>
  <c r="F9" i="3"/>
  <c r="F598" i="3" s="1"/>
  <c r="E598" i="3" l="1"/>
</calcChain>
</file>

<file path=xl/sharedStrings.xml><?xml version="1.0" encoding="utf-8"?>
<sst xmlns="http://schemas.openxmlformats.org/spreadsheetml/2006/main" count="1746" uniqueCount="605">
  <si>
    <t>к решению Благовещенской</t>
  </si>
  <si>
    <t>городской Думы</t>
  </si>
  <si>
    <t>Наименование</t>
  </si>
  <si>
    <t>РПР</t>
  </si>
  <si>
    <t>ЦСР</t>
  </si>
  <si>
    <t>ВР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</si>
  <si>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</si>
  <si>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</si>
  <si>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</si>
  <si>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</si>
  <si>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Непрограммные расходы</t>
  </si>
  <si>
    <t>00 0 00 00000</t>
  </si>
  <si>
    <t>Председатель представительного органа муниципального образования</t>
  </si>
  <si>
    <t>00 0 00 00020</t>
  </si>
  <si>
    <t xml:space="preserve">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</si>
  <si>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Заместитель председателя представительного органа муниципального образования</t>
  </si>
  <si>
    <t>00 0 00 00030</t>
  </si>
  <si>
    <t>Депутаты  представительного органа муниципального образования</t>
  </si>
  <si>
    <t>00 0 00 00040</t>
  </si>
  <si>
    <t>Обеспечение деятельности Благовещенской городской Думы</t>
  </si>
  <si>
    <t>00 0 00 00050</t>
  </si>
  <si>
    <t>Закупка товаров, работ и услуг для обеспечения государственных(муниципальных) нужд</t>
  </si>
  <si>
    <t>Иные бюджетные ассигнования</t>
  </si>
  <si>
    <t>Компенсация расходов, связанных с депутатской деятельностью</t>
  </si>
  <si>
    <t>00 0 00 00060</t>
  </si>
  <si>
    <t>Другие общегосударственные вопросы</t>
  </si>
  <si>
    <t>0113</t>
  </si>
  <si>
    <t>Финансовое обеспечение поощрений за заслуги перед муниципальным образованием городом Благовещенском</t>
  </si>
  <si>
    <t>00 0 00 80110</t>
  </si>
  <si>
    <t>Социальное обеспечение и иные выплаты населению</t>
  </si>
  <si>
    <t>Социальная политика</t>
  </si>
  <si>
    <t>1000</t>
  </si>
  <si>
    <t>Социальное обеспечение населения</t>
  </si>
  <si>
    <t>1003</t>
  </si>
  <si>
    <t xml:space="preserve">Единовременная денежная выплата лицам, награжденным медалью «За заслуги перед городом Благовещенском» </t>
  </si>
  <si>
    <t>00 0 00 80100</t>
  </si>
  <si>
    <t>Функционирование  высшего должностного лица  субъекта  Российской Федерации и муниципального образования</t>
  </si>
  <si>
    <t>0102</t>
  </si>
  <si>
    <t>Глава муниципального образования</t>
  </si>
  <si>
    <t>00 0 00 00010</t>
  </si>
  <si>
    <t xml:space="preserve"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 </t>
  </si>
  <si>
    <t>0104</t>
  </si>
  <si>
    <t>Расходы на обеспечение функций исполнительно-распорядительного, контрольного органов муниципального образования</t>
  </si>
  <si>
    <t>00 0 00 00070</t>
  </si>
  <si>
    <t>Расходы на выполнение государственных полномочий</t>
  </si>
  <si>
    <t>00 1 00 00000</t>
  </si>
  <si>
    <t>00 1 00 87360</t>
  </si>
  <si>
    <t>100</t>
  </si>
  <si>
    <t>200</t>
  </si>
  <si>
    <t>00 1 00 88430</t>
  </si>
  <si>
    <t>00 1 00 87290</t>
  </si>
  <si>
    <t>Расходы на обеспечение деятельности (оказания услуг, выполнение работ) муниципальных организаций  (учреждений)</t>
  </si>
  <si>
    <t>00 0 00 10590</t>
  </si>
  <si>
    <t>Расходы  на оплату исполнительных документов</t>
  </si>
  <si>
    <t>00 0 00 70020</t>
  </si>
  <si>
    <t>Расходы на обеспечение деятельности (оказание услуг, выполнение работ) муниципальных организаций (учреждений)</t>
  </si>
  <si>
    <t>Предоставление субсидий бюджетным, автономным учреждениям и иным некоммерческим организациям</t>
  </si>
  <si>
    <t>Национальная оборона</t>
  </si>
  <si>
    <t>0200</t>
  </si>
  <si>
    <t>Мобилизационная подготовка экономики</t>
  </si>
  <si>
    <t>0204</t>
  </si>
  <si>
    <t>Техническая зашита информации</t>
  </si>
  <si>
    <t>00 0 00 00080</t>
  </si>
  <si>
    <t>Мобилизационная подготовка</t>
  </si>
  <si>
    <t>00 0 00 00090</t>
  </si>
  <si>
    <t>Национальная экономика</t>
  </si>
  <si>
    <t>0400</t>
  </si>
  <si>
    <t>Водное хозяйство</t>
  </si>
  <si>
    <t>0406</t>
  </si>
  <si>
    <t>08 0 00 00000</t>
  </si>
  <si>
    <t>Подпрограмма "Охрана окружающей среды и обеспечение экологической безопасности населения города Благовещенска"</t>
  </si>
  <si>
    <t>08 4 00 00000</t>
  </si>
  <si>
    <t>Основное мероприятие "Выполнение санитарно-эпидемиологических требований и обеспечение экологической безопасности"</t>
  </si>
  <si>
    <t>08 4 01 00000</t>
  </si>
  <si>
    <t>Капитальные вложения в объекты недвижимого имущества государственной (муниципальной) собственности</t>
  </si>
  <si>
    <t>Транспорт</t>
  </si>
  <si>
    <t>0408</t>
  </si>
  <si>
    <t>02 0 00 00000</t>
  </si>
  <si>
    <t>Подпрограмма "Развитие пассажирского транспорта в городе Благовещенске"</t>
  </si>
  <si>
    <t>02 2 00 00000</t>
  </si>
  <si>
    <t>Основное мероприятие "Создание условий для предоставления транспортных услуг населению и организация транспортного обслуживания населения в границах городского округа"</t>
  </si>
  <si>
    <t>02 2 01 00000</t>
  </si>
  <si>
    <t>02 2 01 10590</t>
  </si>
  <si>
    <t>Субсидии транспортным предприятиям на компенсацию  выпадающих доходов по тарифам, не обеспечивающим экономически обоснованные  затраты</t>
  </si>
  <si>
    <t>02 2 01 60020</t>
  </si>
  <si>
    <t>02 2 01 60030</t>
  </si>
  <si>
    <t>Субсидии перевозчикам на возмещение недополученных доходов в связи с осуществлением перевозок отдельных категорий граждан по льготным проездным билетам в автобусах муниципальных автомобильных маршрутов регулярных перевозок, следующих к местам расположения садовых участков</t>
  </si>
  <si>
    <t>02 2 01 60040</t>
  </si>
  <si>
    <t>Дорожное хозяйство (дорожные фонды)</t>
  </si>
  <si>
    <t>0409</t>
  </si>
  <si>
    <t>Подпрограмма "Осуществление дорожной деятельности в отношении автомобильных дорог общего пользования местного значения"</t>
  </si>
  <si>
    <t>02 1 00 00000</t>
  </si>
  <si>
    <t>Основное мероприятие "Развитие улично-дорожной сети города Благовещенска"</t>
  </si>
  <si>
    <t>02 1 01 00000</t>
  </si>
  <si>
    <t>03 0 00 00000</t>
  </si>
  <si>
    <t>Подпрограмма "Благоустройство территории города Благовещенска"</t>
  </si>
  <si>
    <t>03 4 00 00000</t>
  </si>
  <si>
    <t>Основное мероприятие "Организация работ по повышению благоустроенности территории города Благовещенска"</t>
  </si>
  <si>
    <t>03 4 01 00000</t>
  </si>
  <si>
    <t>Другие вопросы в области национальной экономики</t>
  </si>
  <si>
    <t>0412</t>
  </si>
  <si>
    <t>11 0 00 00000</t>
  </si>
  <si>
    <t>Основное мероприятие "Обеспечение мероприятий по землеустройству и землепользованию"</t>
  </si>
  <si>
    <t>11 0 01 00000</t>
  </si>
  <si>
    <t>Организация выполнения кадастровых работ и государственного кадастрового учета в отношении земельных участков для муниципальных нужд</t>
  </si>
  <si>
    <t>11 0 01 10240</t>
  </si>
  <si>
    <t>Основное мероприятие "Обеспечение мероприятий по градостроительной деятельности"</t>
  </si>
  <si>
    <t>11 0 02 00000</t>
  </si>
  <si>
    <t>Обеспечение мероприятий по ведению информационной системы обеспечения градостроительной деятельности, осуществляемой на территории города Благовещенска</t>
  </si>
  <si>
    <t>11 0 02 10300</t>
  </si>
  <si>
    <t>Организация деятельности, направленной на подготовку внесения изменений в правила землепользования и застройки, подготовку нормативов градостроительного проектирования и документации по планировке территории</t>
  </si>
  <si>
    <t>11 0 02 10500</t>
  </si>
  <si>
    <t>09 0 00 00000</t>
  </si>
  <si>
    <t>09 1 00 00000</t>
  </si>
  <si>
    <t>Подпрограмма "Развитие малого и среднего предпринимательства в городе Благовещенске"</t>
  </si>
  <si>
    <t>09 2 00 00000</t>
  </si>
  <si>
    <t>Основное мероприятие "Поддержка субъектов малого и среднего предпринимательства"</t>
  </si>
  <si>
    <t>09 2 01 00000</t>
  </si>
  <si>
    <t>Организационная, информационная, консультационная поддержка, поддержка в области повышения инвестиционной активности в сфере малого и среднего предпринимательства</t>
  </si>
  <si>
    <t>09 2 01 10320</t>
  </si>
  <si>
    <t>Основное мероприятие "Развитие инфраструктуры поддержки малого и среднего предпринимательства"</t>
  </si>
  <si>
    <t>09 2 02 00000</t>
  </si>
  <si>
    <t>Субсидии некоммерческим организациям, оказывающим поддержку субъектам малого и среднего предпринимательства</t>
  </si>
  <si>
    <t>09 2 02 10310</t>
  </si>
  <si>
    <t xml:space="preserve">Жилищно-коммунальное хозяйство </t>
  </si>
  <si>
    <t>0500</t>
  </si>
  <si>
    <t xml:space="preserve">Жилищное  хозяйство </t>
  </si>
  <si>
    <t>0501</t>
  </si>
  <si>
    <t>Подпрограмма "Повышение качества и надежности жилищно-коммунального обслуживания населения, обеспечение доступности коммунальных услуг"</t>
  </si>
  <si>
    <t>03 1 00 00000</t>
  </si>
  <si>
    <t>Основное мероприятие "Реализация мероприятий по обеспечению благоприятных и безопасных условий проживания граждан в многоквартирных домах"</t>
  </si>
  <si>
    <t>03 1 03 00000</t>
  </si>
  <si>
    <t>Текущий и капитальный ремонт выгребных ям, строительство и ремонт дворовых уборных и подъездных путей к ним в неблагоустроенном жилищном фонде</t>
  </si>
  <si>
    <t>03 1 03 60130</t>
  </si>
  <si>
    <t>Подпрограмма "Капитальный ремонт жилищного фонда города Благовещенска"</t>
  </si>
  <si>
    <t>03 3 00 00000</t>
  </si>
  <si>
    <t>Основное мероприятие "Обеспечение мероприятий по капитальному ремонту общего имущества в многоквартирных домах"</t>
  </si>
  <si>
    <t>03 3 01 00000</t>
  </si>
  <si>
    <t>03 3 01 10220</t>
  </si>
  <si>
    <t xml:space="preserve">Коммунальное хозяйство </t>
  </si>
  <si>
    <t>0502</t>
  </si>
  <si>
    <t>Основное мероприятие "Организация на территории городского округа тепло-, водо-, электро-, газоснабжения и водоотведения"</t>
  </si>
  <si>
    <t>03 1 01 00000</t>
  </si>
  <si>
    <t>Другие вопросы в области жилищно-коммунального хозяйства</t>
  </si>
  <si>
    <t>0505</t>
  </si>
  <si>
    <t>Основное мероприятие "Финансовое обеспечение исполнения функций технического заказчика по объектам капитального строительства муниципальной собственности"</t>
  </si>
  <si>
    <t>11 0 03 00000</t>
  </si>
  <si>
    <t>11 0 03 10590</t>
  </si>
  <si>
    <t>Образование</t>
  </si>
  <si>
    <t>0700</t>
  </si>
  <si>
    <t>0707</t>
  </si>
  <si>
    <t>07 0 00 00000</t>
  </si>
  <si>
    <t>Основное мероприятие "Реализация мер в области муниципальной молодежной политики"</t>
  </si>
  <si>
    <t>07 0 01 00000</t>
  </si>
  <si>
    <t>07 0 01 10180</t>
  </si>
  <si>
    <t>Выплата премий активной и талантливой молодежи</t>
  </si>
  <si>
    <t>07 0 01 10560</t>
  </si>
  <si>
    <t>Основное мероприятие "Организация деятельности  по работе с молодежью на территории городского округа"</t>
  </si>
  <si>
    <t>07 0 02 00000</t>
  </si>
  <si>
    <t>07 0 02 10590</t>
  </si>
  <si>
    <t>Пенсионное обеспечение</t>
  </si>
  <si>
    <t>1001</t>
  </si>
  <si>
    <t>Доплаты к пенсиям муниципальных служащих</t>
  </si>
  <si>
    <t>00 0 00 80120</t>
  </si>
  <si>
    <t>Дополнительное материальное обеспечение ветеранов культуры, искусства и спорта</t>
  </si>
  <si>
    <t>00 0 00 80080</t>
  </si>
  <si>
    <t>Предоставление мер социальной поддержки гражданам, награжденным званием "Почётный гражданин города Благовещенска"</t>
  </si>
  <si>
    <t>00 0 00 80090</t>
  </si>
  <si>
    <t xml:space="preserve">Мероприятия  в области социальной политики </t>
  </si>
  <si>
    <t>00 0 00 80130</t>
  </si>
  <si>
    <t>Расходы на финансирование муниципального гранта</t>
  </si>
  <si>
    <t>00 0 00 80140</t>
  </si>
  <si>
    <t xml:space="preserve">Физическая культура и спорт </t>
  </si>
  <si>
    <t>1100</t>
  </si>
  <si>
    <t xml:space="preserve">Физическая культура </t>
  </si>
  <si>
    <t>1101</t>
  </si>
  <si>
    <t>06 0 00 00000</t>
  </si>
  <si>
    <t>Основное мероприятие "Организация деятельности муниципальных учреждений в сфере физической культуры и спорта"</t>
  </si>
  <si>
    <t>06 0 01 00000</t>
  </si>
  <si>
    <t>06 0 01 10590</t>
  </si>
  <si>
    <t>Массовый спорт</t>
  </si>
  <si>
    <t>1102</t>
  </si>
  <si>
    <t>Основное мероприятие "Развитие инфраструктуры и материально-технической базы для занятия физической культурой и спортом"</t>
  </si>
  <si>
    <t>06 0 02 00000</t>
  </si>
  <si>
    <t>Совершенствование материально-технической базы для занятий физической культурой и спортом в городе Благовещенске</t>
  </si>
  <si>
    <t>06 0 02 10120</t>
  </si>
  <si>
    <t>Основное мероприятие "Развитие и поддержка физической культуры и спорта на территории городского округа"</t>
  </si>
  <si>
    <t>06 0 03 00000</t>
  </si>
  <si>
    <t>Развитие массовой физкультурно-оздоровительной и спортивной работы с населением</t>
  </si>
  <si>
    <t>06 0 03 10130</t>
  </si>
  <si>
    <t>Проведение городских спортивно-массовых мероприятий - День Здоровья: «Кросс»,  «Азимут», «Оранжевый Мяч», «Лыжня»</t>
  </si>
  <si>
    <t>06 0 03 10140</t>
  </si>
  <si>
    <t xml:space="preserve">Развитие и поддержка  спорта высших достижений </t>
  </si>
  <si>
    <t>06 0 03 10150</t>
  </si>
  <si>
    <t>Создание условий для развития физической культуры и спорта  среди лиц с ограниченными физическими возможностями здоровья</t>
  </si>
  <si>
    <t>06 0 03 10160</t>
  </si>
  <si>
    <t>Средства массовой  информации</t>
  </si>
  <si>
    <t>1200</t>
  </si>
  <si>
    <t>Телевидение и радиовещание</t>
  </si>
  <si>
    <t>1201</t>
  </si>
  <si>
    <t>Обслуживание 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</si>
  <si>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</si>
  <si>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</si>
  <si>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</si>
  <si>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Процентные платежи по муниципальному долгу</t>
  </si>
  <si>
    <t>00 0 00 70010</t>
  </si>
  <si>
    <t>Обслуживание государственного (муниципального) долга</t>
  </si>
  <si>
    <t>Обеспечение деятельности 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</si>
  <si>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</si>
  <si>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</si>
  <si>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</si>
  <si>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Резервный фонд администрации города Благовещенска</t>
  </si>
  <si>
    <t>00 0 00 20010</t>
  </si>
  <si>
    <t>Сельское хозяйство и рыболовство</t>
  </si>
  <si>
    <t>0405</t>
  </si>
  <si>
    <t>Расходы на осуществление мероприятий по отлову и содержанию безнадзорных животных, обитающих на территории городского округа</t>
  </si>
  <si>
    <t>08 4 01 10560</t>
  </si>
  <si>
    <t>08 4 01 69700</t>
  </si>
  <si>
    <t>Субсидии казенным предприятиям на возмещение затрат, связанных с выполнением заказа по содержанию и ремонту улично-дорожной сети</t>
  </si>
  <si>
    <t>02 1 01 60070</t>
  </si>
  <si>
    <t>01 0 00 00000</t>
  </si>
  <si>
    <t>Подпрограмма "Переселение граждан из аварийного жилищного фонда на территории города Благовещенска"</t>
  </si>
  <si>
    <t>01 1 01 00000</t>
  </si>
  <si>
    <t>Обеспечение мероприятий по сносу аварийных домов</t>
  </si>
  <si>
    <t>01 1 01 10490</t>
  </si>
  <si>
    <t>Основное мероприятие "Поддержка организаций, предоставляющих жилищно-коммунальные услуги населению"</t>
  </si>
  <si>
    <t>03 1 02 00000</t>
  </si>
  <si>
    <t>Субсидии юридическим лицам, предоставляющим населению жилищные услуги по тарифам, не обеспечивающим возмещения затрат (неблагоустроенный жилищный фонд и общежития)</t>
  </si>
  <si>
    <t>03 1 02 60120</t>
  </si>
  <si>
    <t>Расходы на организацию проведения конкурсов по отбору управляющих организаций</t>
  </si>
  <si>
    <t>03 1 03 60140</t>
  </si>
  <si>
    <t xml:space="preserve">Благоустройство </t>
  </si>
  <si>
    <t>0503</t>
  </si>
  <si>
    <t>Оплата услуг по поставке электроэнергии на  уличное  освещение</t>
  </si>
  <si>
    <t>03 4 01 60170</t>
  </si>
  <si>
    <t xml:space="preserve">Прочие мероприятия по  благоустройству  городского округа </t>
  </si>
  <si>
    <t>03 4 01 60210</t>
  </si>
  <si>
    <t>03 5 00 00000</t>
  </si>
  <si>
    <t>Основное мероприятие "Организация деятельности в сфере жилищно-коммунального хозяйства"</t>
  </si>
  <si>
    <t>03 5 01 00000</t>
  </si>
  <si>
    <t>03 5 01 00070</t>
  </si>
  <si>
    <t xml:space="preserve">Национальная безопасность  и правоохранительная деятельность </t>
  </si>
  <si>
    <t>0300</t>
  </si>
  <si>
    <t xml:space="preserve">Защита населения  и территории от чрезвычайных  ситуаций  природного  и техногенного  характера, гражданская оборона </t>
  </si>
  <si>
    <t>0309</t>
  </si>
  <si>
    <t>Подпрограмма "Профилактика нарушений общественного порядка, терроризма и экстремизма"</t>
  </si>
  <si>
    <t>08 1 00 00000</t>
  </si>
  <si>
    <t>Основное мероприятие "Организация противодействия терроризму и преступности на территории города Благовещенска"</t>
  </si>
  <si>
    <t>08 1 01 00000</t>
  </si>
  <si>
    <t>Подпрограмма  "Обеспечение безопасности людей на водных объектах, охраны их жизни и здоровья на территории города Благовещенска"</t>
  </si>
  <si>
    <t>08 2 00 00000</t>
  </si>
  <si>
    <t>Основное мероприятие "Организация мероприятий в сфере  обеспечения безопасности   людей на водных объектах"</t>
  </si>
  <si>
    <t>08 2 01 00000</t>
  </si>
  <si>
    <t xml:space="preserve">Обеспечение и проведение мероприятий  по профилактической работе по вопросам  безопасного поведения на воде                                      </t>
  </si>
  <si>
    <t>08 2 01 10360</t>
  </si>
  <si>
    <t>Обеспечение  и проведение мероприятий по созданию спасательных постов</t>
  </si>
  <si>
    <t>08 2 01 10390</t>
  </si>
  <si>
    <t>Подпрограмма "Обеспечение первичных   мер  пожарной безопасности на территории города Благовещенска"</t>
  </si>
  <si>
    <t>08 3 00 00000</t>
  </si>
  <si>
    <t>Основное мероприятие "Осуществление мероприятий по выполнению требований пожарной безопасности"</t>
  </si>
  <si>
    <t>08 3 01 00000</t>
  </si>
  <si>
    <t>Предупреждение  пожаров в границах городского округа</t>
  </si>
  <si>
    <t>08 3 01 10420</t>
  </si>
  <si>
    <t>08 5 00 00000</t>
  </si>
  <si>
    <t>Основное мероприятие "Организация управления системой обеспечения безопасности жизнедеятельности населения и территории"</t>
  </si>
  <si>
    <t>08 5 01 00000</t>
  </si>
  <si>
    <t>08 5 01 10590</t>
  </si>
  <si>
    <t>Дошкольное  образование</t>
  </si>
  <si>
    <t>0701</t>
  </si>
  <si>
    <t>04 0 00 00000</t>
  </si>
  <si>
    <t>Подпрограмма "Развитие дошкольного, общего и дополнительного  образования детей"</t>
  </si>
  <si>
    <t>04 1 00 00000</t>
  </si>
  <si>
    <t>Основное мероприятие "Обеспечение  реализации программ дошкольного, начального, основного, среднего  и дополнительного  образования"</t>
  </si>
  <si>
    <t>04 1 01 00000</t>
  </si>
  <si>
    <t>04 1 01 10590</t>
  </si>
  <si>
    <t>600</t>
  </si>
  <si>
    <t>04 3 00 00000</t>
  </si>
  <si>
    <t>Основное мероприятие "Развитие, поддержка и совершенствование системы кадрового потенциала педагогического корпуса"</t>
  </si>
  <si>
    <t>04 3 02 00000</t>
  </si>
  <si>
    <t xml:space="preserve">Единовременные социальные пособия работникам муниципальных образовательных учреждений </t>
  </si>
  <si>
    <t>04 3 02 10610</t>
  </si>
  <si>
    <t xml:space="preserve">Общее образование </t>
  </si>
  <si>
    <t>0702</t>
  </si>
  <si>
    <t xml:space="preserve">Организация подвоза обучающихся в муниципальных образовательных организациях, проживающих в отдаленных населенных пунктах </t>
  </si>
  <si>
    <t>04 1 01 10570</t>
  </si>
  <si>
    <t>04 1 01 10580</t>
  </si>
  <si>
    <t xml:space="preserve">Предоставление бесплатного питания детям из малообеспеченных семей, обучающихся  в муниципальных общеобразовательных организациях города Благовещенска </t>
  </si>
  <si>
    <t>04 1 01 10600</t>
  </si>
  <si>
    <t>Основное мероприятие "Развитие инфраструктуры  дошкольного и общего образования"</t>
  </si>
  <si>
    <t>Развитие кадрового потенциала муниципальных организаций (учреждений)</t>
  </si>
  <si>
    <t>04 3 02 10020</t>
  </si>
  <si>
    <t>Дополнительное образование детей</t>
  </si>
  <si>
    <t>0703</t>
  </si>
  <si>
    <t>Подпрограмма  "Развитие системы защиты прав детей"</t>
  </si>
  <si>
    <t>04 2 00 00000</t>
  </si>
  <si>
    <t>Основное мероприятие "Организация  и обеспечение проведения оздоровительной кампании детей"</t>
  </si>
  <si>
    <t>04 2 02 00000</t>
  </si>
  <si>
    <t>Проведение  мероприятий  по организации отдыха детей в каникулярное время</t>
  </si>
  <si>
    <t>04 2 02 10040</t>
  </si>
  <si>
    <t>Частичная оплата стоимости путевок  для детей работающих граждан в организации отдыха и оздоровления детей в каникулярное время</t>
  </si>
  <si>
    <t>04 2 02 80010</t>
  </si>
  <si>
    <t>Другие вопросы в области образования</t>
  </si>
  <si>
    <t>0709</t>
  </si>
  <si>
    <t>Основное мероприятие "Реализация прав и гарантий на государственную поддержку отдельных категорий граждан"</t>
  </si>
  <si>
    <t>04 2 01 00000</t>
  </si>
  <si>
    <t>04 2 01 87300</t>
  </si>
  <si>
    <t>Основное мероприятие "Организация деятельности в сфере образования"</t>
  </si>
  <si>
    <t>04 3 01 00000</t>
  </si>
  <si>
    <t>04 3 01 00070</t>
  </si>
  <si>
    <t>04 3 01 10590</t>
  </si>
  <si>
    <t>Охрана семьи и детства</t>
  </si>
  <si>
    <t>1004</t>
  </si>
  <si>
    <t>04 1 01 87250</t>
  </si>
  <si>
    <t>04 2 01 70000</t>
  </si>
  <si>
    <t>04 2 01 11020</t>
  </si>
  <si>
    <t>05 0 00 00000</t>
  </si>
  <si>
    <t>Подпрограмма " Дополнительное образование детей в сфере культуры"</t>
  </si>
  <si>
    <t>05 2 00 00000</t>
  </si>
  <si>
    <t>Основное мероприятие "Организация дополнительного образования детей в сфере культуры"</t>
  </si>
  <si>
    <t>05 2 01 00000</t>
  </si>
  <si>
    <t>05 2 01 10590</t>
  </si>
  <si>
    <t xml:space="preserve">Культура, кинематография </t>
  </si>
  <si>
    <t>0800</t>
  </si>
  <si>
    <t xml:space="preserve">Культура </t>
  </si>
  <si>
    <t>0801</t>
  </si>
  <si>
    <t>05 3 00 00000</t>
  </si>
  <si>
    <t>Основное мероприятие "Организация  деятельности библиотек"</t>
  </si>
  <si>
    <t>05 3 01 00000</t>
  </si>
  <si>
    <t>05 3 01 10590</t>
  </si>
  <si>
    <t>Подпрограмма  "Народное творчество и культурно-досуговая деятельность"</t>
  </si>
  <si>
    <t>05 4 00 00000</t>
  </si>
  <si>
    <t>Основное мероприятие "Организация культурно-досуговой деятельности и народного творчества"</t>
  </si>
  <si>
    <t>05 4 01 00000</t>
  </si>
  <si>
    <t>05 4 01 10590</t>
  </si>
  <si>
    <t>Другие вопросы  в области культуры, кинематографии</t>
  </si>
  <si>
    <t>0804</t>
  </si>
  <si>
    <t>Подпрограмма "Историко-культурное наследие"</t>
  </si>
  <si>
    <t>05 1 00 00000</t>
  </si>
  <si>
    <t>Основное мероприятие "Обеспечение сохранности объектов историко-культурного наследия"</t>
  </si>
  <si>
    <t>05 1 01 00000</t>
  </si>
  <si>
    <t>Работы по сохранению объектов историко-культурного наследия</t>
  </si>
  <si>
    <t>05 1 01 10070</t>
  </si>
  <si>
    <t>05 5 00 00000</t>
  </si>
  <si>
    <t>Основное мероприятие "Организация деятельности в сфере культуры"</t>
  </si>
  <si>
    <t>05 5 01 00000</t>
  </si>
  <si>
    <t>05 5 01 00070</t>
  </si>
  <si>
    <t>Основное мероприятие "Реализация мероприятий по развитию и сохранению культуры в городе Благовещенске"</t>
  </si>
  <si>
    <t>05 5 02 00000</t>
  </si>
  <si>
    <t>Поддержка творческих инициатив в сфере культуры города Благовещенска</t>
  </si>
  <si>
    <t>05 5 02 80020</t>
  </si>
  <si>
    <t>01 4 01 10590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</si>
  <si>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</si>
  <si>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Подпрограмма "Энергосбережение и повышение энергетической эффективности в городе Благовещенске"</t>
  </si>
  <si>
    <t>03 2 00 00000</t>
  </si>
  <si>
    <t>Основное мероприятие "Обеспечение энергоэффективности в бюджетной и жилищно-коммунальной сферах экономики города Благовещенска"</t>
  </si>
  <si>
    <t>03 2 01 00000</t>
  </si>
  <si>
    <t>Государственная регистрация права муниципальной  собственности на  выявленные  бесхозяйные объекты  инженерной инфраструктуры</t>
  </si>
  <si>
    <t>03 2 01 60230</t>
  </si>
  <si>
    <t>Приобретение квартир в муниципальную собственность по решениям суда</t>
  </si>
  <si>
    <t>00 0 00 70030</t>
  </si>
  <si>
    <t>01 4 00 00000</t>
  </si>
  <si>
    <t>Основное мероприятие "Финансирование расходов на реализацию мероприятий программы и обеспечение деятельности учреждения, осуществляющего функции в жилищной сфере"</t>
  </si>
  <si>
    <t>01 4 01 00000</t>
  </si>
  <si>
    <t>Содержание и ремонт муниципального жилья</t>
  </si>
  <si>
    <t>01 4 01 60010</t>
  </si>
  <si>
    <t>Исполнение обязательств по уплате взносов на капитальный ремонт общего имущества в многоквартирных домах, жилые и нежилые помещения в которых находятся в муниципальной собственности</t>
  </si>
  <si>
    <t>03 3 01 10550</t>
  </si>
  <si>
    <t>Подпрограмма "Улучшение жилищных условий работников муниципальных организаций города Благовещенска"</t>
  </si>
  <si>
    <t>01 2 00 00000</t>
  </si>
  <si>
    <t xml:space="preserve">Основное мероприятие "Обеспечение доступности приобретения (строительства) жилья для работников муниципальных организаций" </t>
  </si>
  <si>
    <t>01 2 01 00000</t>
  </si>
  <si>
    <t>Предоставление работникам муниципальных организаций социальной выплаты за счет средств городского бюджета на компенсацию части стоимости приобретенного (приобретаемого), построенного жилья</t>
  </si>
  <si>
    <t xml:space="preserve">1003 </t>
  </si>
  <si>
    <t>01 2 01 80070</t>
  </si>
  <si>
    <t>Подпрограмма "Обеспечение жильём молодых семей"</t>
  </si>
  <si>
    <t>01 3 00 00000</t>
  </si>
  <si>
    <t>01 3 01 00000</t>
  </si>
  <si>
    <t>400</t>
  </si>
  <si>
    <t>тыс.руб.</t>
  </si>
  <si>
    <t>Итого расходов</t>
  </si>
  <si>
    <t>01 1 00 00000</t>
  </si>
  <si>
    <t>Основное мероприятие "Обеспечение мероприятий по переселению граждан из аварийного жилищного фонда"</t>
  </si>
  <si>
    <t>04 1 01 88500</t>
  </si>
  <si>
    <t>Организация и проведение мероприятий по работе с молодежью</t>
  </si>
  <si>
    <t>Обеспечение  функционирования АПК "Безопасный город" и комплексной системы экстренного оповещения населения</t>
  </si>
  <si>
    <t xml:space="preserve">Молодежная политика </t>
  </si>
  <si>
    <t>Закупка товаров, работ и услуг для обеспечения  государственных(муниципальных) нужд</t>
  </si>
  <si>
    <t xml:space="preserve">Премия одаренным  детям, обучающимся в образовательных организациях   города Благовещенска </t>
  </si>
  <si>
    <t>08 4 01 10640</t>
  </si>
  <si>
    <t>Обеспечение  проведения выборов и референдумов</t>
  </si>
  <si>
    <t>Проведение  выборов   органов местного самоуправления</t>
  </si>
  <si>
    <t>0107</t>
  </si>
  <si>
    <t>00 0 00 00100</t>
  </si>
  <si>
    <t>02 1 01 S7480</t>
  </si>
  <si>
    <t>13 0 00 00000</t>
  </si>
  <si>
    <t>04 2 02 S7500</t>
  </si>
  <si>
    <t>Выполнение работ по актуализации схемы теплоснабжения города Благовещенска</t>
  </si>
  <si>
    <t>03 1 01 10651</t>
  </si>
  <si>
    <t>Расходы по охране объектов незавершенного строительства и объектов в период передачи в муниципальную собственность</t>
  </si>
  <si>
    <t>03 1 01 40660</t>
  </si>
  <si>
    <t>Субсидии транспортным предприятиям на возмещение затрат, не обеспеченных утвержденным экономически обоснованным тарифом, связанных с осуществлением перевозок пассажиров по нерентабельным муниципальным автобусным маршрутам регулярных перевозок в городском сообщении, включая садовые маршруты</t>
  </si>
  <si>
    <t>Основное мероприятие «Выявление и поддержка одаренных детей»</t>
  </si>
  <si>
    <t>Развитие интеллектуального, творческого и физического потенциала всех категорий детей</t>
  </si>
  <si>
    <t>04 2 03 00000</t>
  </si>
  <si>
    <t>04 2 03 10050</t>
  </si>
  <si>
    <t>Основное мероприятие «Развитие, поддержка и совершенствование системы кадрового потенциала педагогического корпуса»</t>
  </si>
  <si>
    <t>Судебная система</t>
  </si>
  <si>
    <t>Предоставление субсидий бюджетным, автономным
учреждениям и иным некоммерческим организациям</t>
  </si>
  <si>
    <t>0105</t>
  </si>
  <si>
    <t>03 4 01 60110</t>
  </si>
  <si>
    <t>04 1 01 S7620</t>
  </si>
  <si>
    <t xml:space="preserve"> Обновление и укрепление материально - технической базы муниципальных организаций (учреждений)</t>
  </si>
  <si>
    <t>04 1 02 10010</t>
  </si>
  <si>
    <t>01 3 01 L4970</t>
  </si>
  <si>
    <t>02 1 01 40680</t>
  </si>
  <si>
    <t>04 1 02 00000</t>
  </si>
  <si>
    <t>Проведение капитального ремонта и ремонта дворовых территорий многоквартирных домов, проездов к дворовым территориям многоквартирных домов, устройство ограждений на территориях (территорий) многоквартирных домов, устройство детских и спортивных площадок на дворовых территориях многоквартирных домов</t>
  </si>
  <si>
    <t>Основное мероприятие "Государственная поддержка молодых семей, признанных в установленном порядке нуждающимися в улучшении жилищных условий"</t>
  </si>
  <si>
    <t>Реализация мероприятий по обеспечению жильём молодых семей</t>
  </si>
  <si>
    <t>02 1 01 40080</t>
  </si>
  <si>
    <t>Строительство водопроводных сетей в районе "5-й стройки"</t>
  </si>
  <si>
    <t>03 1 01 40090</t>
  </si>
  <si>
    <t>03 1 01 40580</t>
  </si>
  <si>
    <t>03 1 01 40690</t>
  </si>
  <si>
    <t>03 1 01 40720</t>
  </si>
  <si>
    <t>Условно-утверждаемые расходы</t>
  </si>
  <si>
    <t>00 0 00 S7719</t>
  </si>
  <si>
    <t>02 1 01 S7711</t>
  </si>
  <si>
    <t>02 1 01 S7712</t>
  </si>
  <si>
    <t>02 1 01 S7713</t>
  </si>
  <si>
    <t>03 1 02 S7714</t>
  </si>
  <si>
    <t>03 4 01 S7716</t>
  </si>
  <si>
    <t>03 4 01 S7717</t>
  </si>
  <si>
    <t>03 4 01 S7718</t>
  </si>
  <si>
    <t>03 1 02 S7715</t>
  </si>
  <si>
    <t>Мероприятия государственной программы Амурской области "Развитие транспортной системы Амурской области", направленные на строительство и ремонт улично-дорожной сети города Благовещенска</t>
  </si>
  <si>
    <t>Муниципальная программа "Развитие и сохранение культуры в городе  Благовещенске на 2015-2021 годы"</t>
  </si>
  <si>
    <t>Распределение бюджетных ассигнований по разделам, подразделам, целевым статьям (государственным (муниципальным) программам и непрограммным направлениям деятельности), группам видов расходов классификации расходов бюджетов на 2020 год и плановый период 2021 и 2022 годов</t>
  </si>
  <si>
    <t>Муниципальная программа "Обеспечение безопасности жизнедеятельности населения и территории города Благовещенска"</t>
  </si>
  <si>
    <t>Обновление и укрепление материально-технической базы АПК «Безопасный город»  и комплексной системы экстренного оповещения населения»</t>
  </si>
  <si>
    <t>Обеспечение безопасности, охраны жизни и здоровья населения в местах массового отдыха на водных объектах города Благовещенска</t>
  </si>
  <si>
    <t>08 2 01 10380</t>
  </si>
  <si>
    <t>Капитальные вложения в объекты муниципальной собственности (Берегоукрепление и реконструкция набережной р.Амур, г.Благовещенск (4-й этап строительства: 2 пусковой комплекс (участок № 10))</t>
  </si>
  <si>
    <t>08 4 01 S7110</t>
  </si>
  <si>
    <t>Муниципальная программа "Развитие транспортной системы города Благовещенска"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</si>
  <si>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</si>
  <si>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02 1 R1 53930</t>
  </si>
  <si>
    <t>Реконструкция автомобильной дороги по ул. Тепличная города Благовещенска (в т.ч. проектные работы)</t>
  </si>
  <si>
    <t>Обустройство автомобильных дорог и обеспечение условий для безопасного дорожного движения на территории Амурской области</t>
  </si>
  <si>
    <t>02 1 01 S0180</t>
  </si>
  <si>
    <t xml:space="preserve">Выравнивание обеспеченности муниципальных образований по реализации ими отдельных расходных обязательств (предоставление субсидии казенным предприятиям на возмещение затрат, связанных с выполнением заказа по содержанию и ремонту улично-дорожной сети)     </t>
  </si>
  <si>
    <t xml:space="preserve">Выравнивание обеспеченности муниципальных образований по реализации ими отдельных расходных обязательств (предоставление субсидий юридическим лицам на возмещение затрат, связанных с выполнением работ по устройству, ремонту и модернизации отдельных элементов обустройства автомобильных дорог в границах городского округа)           </t>
  </si>
  <si>
    <t>Выравнивание обеспеченности муниципальных образований по реализации ими отдельных расходных обязательств (предоставление субсидий казенным предприятиям на  возмещение затрат, связанных с выполнением заказа по содержанию и обслуживанию средств регулирования дорожного движения)</t>
  </si>
  <si>
    <t>Обеспечение транспортной безопасности на объектах транспортной инфраструктуры (мост через р.Зея)</t>
  </si>
  <si>
    <t>08 1 01 10680</t>
  </si>
  <si>
    <t>Муниципальная программа "Обеспечение доступным и комфортным жильем населения города Благовещенска"</t>
  </si>
  <si>
    <t>Подпрограмма "Обеспечение реализации муниципальной программы "Обеспечение доступным и комфортным жильём населения города Благовещенска" и прочие расходы"</t>
  </si>
  <si>
    <t>Муниципальная программа "Развитие и модернизация жилищно-коммунального хозяйства, энергосбережение и повышение энергетической эффективности, благоустройство территории города Благовещенска"</t>
  </si>
  <si>
    <t>Осуществление государственных полномочий по организации проведения мероприятий по регулированию численности безнадзорных животных</t>
  </si>
  <si>
    <t>Муниципальная программа "Развитие малого и среднего предпринимательства и туризма на территории города Благовещенска"</t>
  </si>
  <si>
    <t>Подпрограмма "Развитие туризма в городе Благовещенске</t>
  </si>
  <si>
    <t>Основное мероприятие "Совершенствование инфраструктуры досуга и массового отдыха для жителей и гостей города"</t>
  </si>
  <si>
    <t>Капитальные вложения в объекты муниципальной собственности (Большой городской центр "Трибуна Холл" г. Благовещенск, Амурская область)</t>
  </si>
  <si>
    <t>09 1 03 00000</t>
  </si>
  <si>
    <t>09 1 03 S7110</t>
  </si>
  <si>
    <t>Региональная поддержка малого и среднего предпринимательства, включая крестьянские (фермерские) хозяйства (в части предоставления субсидии местным бюджетам на поддержку и развитие субъектов малого и среднего предпринимательства, включая крестьянские (фермерские) хозяйства)</t>
  </si>
  <si>
    <t>09 2 01 S0130</t>
  </si>
  <si>
    <t>Муниципальная  программа "Развитие градостроительной деятельности и управление земельными ресурсами на территории муниципального образования города Благовещенска"</t>
  </si>
  <si>
    <t>Разработка программ комплексного развития</t>
  </si>
  <si>
    <t>11 0 02 10510</t>
  </si>
  <si>
    <t>Выравнивание обеспеченности муниципальных образований по реализации ими отдельных расходных обязательств (предоставление субсидий юридическим лицам, предоставляющим населению жилищные услуги по тарифам, не обеспечивающим возмещения затрат (неблагоустроенный жилищный фонд и общежития)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</si>
  <si>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</si>
  <si>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01 1 01 55050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</si>
  <si>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округа, за счет средств областного бюджета</t>
  </si>
  <si>
    <t>01 1 01 80510</t>
  </si>
  <si>
    <t>Подпрограмма «Обеспечение реализации муниципальной программы «Обеспечение безопасности жизнедеятельности населения и территории города Благовещенска»</t>
  </si>
  <si>
    <t>Финансовое обеспечение государственных полномочий по компенсации выпадающих доходов теплоснабжающих организаций, возникающих в результате установления льготных тарифов для населения Амурской области в рамках подпрограммы "Обеспечение доступности коммунальных услуг, повышение качества и надежности жилищно – коммунального обслуживания населения» государственной программы Амурской области «Модернизация жилищно – коммунального комплекса, энергосбережение и повышение энергетической эффективности в Амурской области"</t>
  </si>
  <si>
    <t>03 1 01 87120</t>
  </si>
  <si>
    <t xml:space="preserve">Выравнивание обеспеченности муниципальных образований по реализации ими отдельных расходных обязательств (предоставление субсидий юридическим лицам, предоставляющим населению услуги в отделениях бань)        </t>
  </si>
  <si>
    <t>Оплата услуг региональному оператору по обращению с твердыми коммунальными отходами</t>
  </si>
  <si>
    <t>Оборудование контейнерных площадок для сбора твердых коммунальных отходов</t>
  </si>
  <si>
    <t>03 1 03 10540</t>
  </si>
  <si>
    <t>03 1 03 S7330</t>
  </si>
  <si>
    <t>Мероприятия государственной программы Амурской области "Модернизация жилищно-коммунального комплекса, энергосбережения и повышение энергетической эффективности в Амурской области", направленные на строительство, реконструкцию, капитальный ремонт и замену оборудования коммунальной инфраструктуры</t>
  </si>
  <si>
    <t>03 1 01 S7400</t>
  </si>
  <si>
    <t>Сливная станция с. Садовое, Амурская область (в т.ч. проектные работы)</t>
  </si>
  <si>
    <t>Подключение объектов котельной Ростелеком к сетям централизованного теплоснабжения</t>
  </si>
  <si>
    <t>03 1 01 40760</t>
  </si>
  <si>
    <t>Капитальный ремонт сетей коммунальной инфраструктуры города Благовещенска в целях реализации национального проекта "Безопасные и качественные дороги"</t>
  </si>
  <si>
    <t>03 1 01 40770</t>
  </si>
  <si>
    <t>03 1 01 40780</t>
  </si>
  <si>
    <t>Муниципальная программа "Формирование современной городской среды на территории города Благовещенска на 2018-2024 годы"</t>
  </si>
  <si>
    <t>Основное мероприятие "Реализация мероприятий в рамках национального проекта "Жильё и городская среда"</t>
  </si>
  <si>
    <t>Реализация мероприятий программы формирования современной городской среды</t>
  </si>
  <si>
    <t>13 0 02 00000</t>
  </si>
  <si>
    <t>13 0 F2 55550</t>
  </si>
  <si>
    <t>Выравнивание обеспеченности муниципальных образований по реализации ими отдельных расходных обязательств (предоставление субсидий казенным предприятиям на возмещение затрат, связанных с выполнением заказа по уборке с территорий общего пользования случайного мусора и несанкционированных свалок, а также по установке и содержанию элементов благоустройства на территориях общего пользования муниципального образования города Благовещенска)</t>
  </si>
  <si>
    <t>Выравнивание обеспеченности муниципальных образований по реализации ими отдельных расходных обязательств (предоставление субсидий казенным предприятиям на возмещение затрат, связанных с выполнением заказа по содержанию муниципальных сетей наружного освещения и световых устройств)</t>
  </si>
  <si>
    <t>Выравнивание обеспеченности муниципальных образований по реализации ими отдельных расходных обязательств (предоставление субсидий казенным предприятиям на возмещение затрат, связанных с выполнением заказа по содержанию озелененных территорий общего пользования города Благовещенска)</t>
  </si>
  <si>
    <t>Муниципальная программа "Развитие градостроительной деятельности и управление земельными ресурсами на территории муниципального образования города Благовещенска"</t>
  </si>
  <si>
    <t>Муниципальная программа "Развитие и модернизация жилищно-коммунального хозяйства,       энергосбережение и повышение энергетической эффективности, благоустройство территории города Благовещенска"</t>
  </si>
  <si>
    <t>Подпрограмма "Обеспечение реализации муниципальной программы "Развитие и модернизация жилищно-коммунального хозяйства,       энергосбережение и повышение энергетической эффективности, благоустройство территории города Благовещенска""</t>
  </si>
  <si>
    <t>Муниципальная программа "Развитие образования города Благовещенска"</t>
  </si>
  <si>
    <t>04 1 02 40730</t>
  </si>
  <si>
    <t>04 1 02 87520</t>
  </si>
  <si>
    <t>Основное мероприятие "Реализация мероприятий по развитию и сохранению образования в городе Благовещенске</t>
  </si>
  <si>
    <t>Поддержка инициатив в сфере  образования города Благовещенска</t>
  </si>
  <si>
    <t>Подпрограмма  "Обеспечение реализации муниципальной программы "Развитие образования города Благовещенска" и прочие мероприятия в области образования"</t>
  </si>
  <si>
    <t>04 1 01 80630</t>
  </si>
  <si>
    <t>Муниципальная программа "Развитие потенциала молодежи города Благовещенска"</t>
  </si>
  <si>
    <t>Подпрограмма "Обеспечение реализации муниципальной программы "Развитие образования города Благовещенска" и прочие мероприятия  в области образования"</t>
  </si>
  <si>
    <t>Муниципальная программа "Развитие и сохранение культуры в городе  Благовещенске"</t>
  </si>
  <si>
    <t>Создание модельной муниципальной библиотеки в целях реализации национального проекта "Культура"</t>
  </si>
  <si>
    <t>05 3 А1 54540</t>
  </si>
  <si>
    <t>Муниципальная программа "Развитие и сохранение культуры в городе  Благовещенске "</t>
  </si>
  <si>
    <t>Подпрограмма "Обеспечение реализации муниципальной программы "Развитие и сохранение культуры в городе  Благовещенске" и прочие расходы в сфере культуры"</t>
  </si>
  <si>
    <t>00 0 00 80150</t>
  </si>
  <si>
    <t>Подпрограмма "Обеспечение реализации муниципальной программы "Обеспечение доступным и комфортным жильём населения города Благовещенск" и прочие расходы"</t>
  </si>
  <si>
    <t>Финансовое обеспечение государственных полномочий Амурской области по постановке на учет и учету граждан, имеющих право на получение жилищных субсидий (единовременных социальных выплат) на приобретение или строительство жилых помещений в соответствии с Федеральным законом от 25.10.2002 № 125-ФЗ "О жилищных субсидиях гражданам, выезжающим из районов Крайнего Севера и приравненных к ним местностей"</t>
  </si>
  <si>
    <t>01 4 01 87630</t>
  </si>
  <si>
    <t>Муниципальная программа "Развитие физической культуры и спорта в городе Благовещенске"</t>
  </si>
  <si>
    <t>Муниципальная программа "Развитие физической культуры и спорта в городе Благовещенске "</t>
  </si>
  <si>
    <t>00 1 00 51200</t>
  </si>
  <si>
    <t>08 1 01 10330</t>
  </si>
  <si>
    <t>08 1 01 10340</t>
  </si>
  <si>
    <t>04 1 04 00000</t>
  </si>
  <si>
    <t>04 1 04 80020</t>
  </si>
  <si>
    <t>05 5 01 10590</t>
  </si>
  <si>
    <t>04 2 01 87700</t>
  </si>
  <si>
    <t>Подпрограмма "Обеспечение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родителей"</t>
  </si>
  <si>
    <t>Основное мероприятие "Государственная поддержка детей-сирот, детей, оставшихся без попечения родителей, а также лиц из числа детей-сирот и детей, оставшихся без попечения родителей"</t>
  </si>
  <si>
    <t>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</si>
  <si>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01 5 00 00000</t>
  </si>
  <si>
    <t>01 5 01 00000</t>
  </si>
  <si>
    <t>01 5 01 R0820</t>
  </si>
  <si>
    <t xml:space="preserve"> 06 0 Р5 52280</t>
  </si>
  <si>
    <t>Субвенции на финансовое обеспечение государственных полномочий по созданию и организации деятельности комиссий по делам несовершеннолетних  и защите их прав при администрациях городских округов и муниципальных районов</t>
  </si>
  <si>
    <t xml:space="preserve">Субвенции на финансовое обеспечение государственных полномочий по организационному обеспечению деятельности административных комиссий </t>
  </si>
  <si>
    <t>Субвенции на осуществление полномочий 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</si>
  <si>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Организация транспортного обслуживания населения</t>
  </si>
  <si>
    <t>02 2 01 S0680</t>
  </si>
  <si>
    <t>Ремонт улично-дорожной сети города Благовещенска</t>
  </si>
  <si>
    <t>02 1 01 60090</t>
  </si>
  <si>
    <t>Основное мероприятие "Федеральный проект "Чистая вода"</t>
  </si>
  <si>
    <t>Строительство и реконструкция (модернизация) объектов питьевого водоснабжения</t>
  </si>
  <si>
    <t>03 1 G5 00000</t>
  </si>
  <si>
    <t>03 1 G5 52430</t>
  </si>
  <si>
    <t>Основное мероприятие «Федеральный проект «Жилье»</t>
  </si>
  <si>
    <t>03 1 F1 00000</t>
  </si>
  <si>
    <t>03 1 F1 50210</t>
  </si>
  <si>
    <t>Основное мероприятие "Федеральный проект "Современная школа"</t>
  </si>
  <si>
    <t>Создание новых мест в общеобразовательных организациях</t>
  </si>
  <si>
    <t>04 1 E1 00000</t>
  </si>
  <si>
    <t>04 1 E1 55200</t>
  </si>
  <si>
    <t>Софинансирование расходов, связанных с развитием аппаратно-программного комплекса "Безопасный город"</t>
  </si>
  <si>
    <t>08 1 01 S1590</t>
  </si>
  <si>
    <t>Софинансирование мероприятий по модернизации региональных систем дошкольного  образования</t>
  </si>
  <si>
    <t>Софинансирование расходных обязательств на обеспечение бесплатным двухразовым  питанием детей с ограниченными возможностями здоровья, обучающихся в муниципальных общеобразовательных организациях</t>
  </si>
  <si>
    <t>Финансовое обеспечение государственного полномочия Амурской области по обеспечению  обучающихся по образовательным программам начального общего образования в муниципальных общеобразовательных организациях питанием</t>
  </si>
  <si>
    <t>Софинансирование расходных обязательств на частичную оплату стоимости путевок для детей работающих граждан в организации отдыха и оздоровления детей в каникулярное время</t>
  </si>
  <si>
    <t>Субвенции на финансовое обеспечение государственных полномочий по организации и осуществлению деятельности по опеке и попечительству в отношении  несовершеннолетних лиц</t>
  </si>
  <si>
    <t>Выплата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</si>
  <si>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Финансовое обеспечение государственных полномочий Амурской области по назначению и выплате денежной выплаты при передаче ребенка на воспитание в семью</t>
  </si>
  <si>
    <t>Финансовое обеспечение государственных полномочий Амурской области по выплате денежных средств на содержание детей, находящихся в семьях опекунов (попечителей) и в приемных семьях, а также вознаграждения приемным родителям (родителю)</t>
  </si>
  <si>
    <t>05 4 01 L4670</t>
  </si>
  <si>
    <t>05 4 01 S7550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</si>
  <si>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части расходов на организацию осуществления полномочий)</t>
  </si>
  <si>
    <t>01 5 01 87640</t>
  </si>
  <si>
    <t>Субвенции на финансовое обеспечение государственных полномочий по организации и осуществлению деятельности по опеке  и попечительству в отношении совершеннолетних лиц, признанных судом  недееспособными или ограниченными в дееспособности по основаниям,  ук5азанным в статьях 29 и 30 Гражданского кодекса Российской Федерации</t>
  </si>
  <si>
    <t>Разработка проектно-сметной документации для строительства внутрипоселковых газораспределительных сетей</t>
  </si>
  <si>
    <t>03 1 01 S8984</t>
  </si>
  <si>
    <t>Финансовое обеспечение государственных гарантий реализации прав на получение общедоступного и бесплатного  дошкольного образования в муниципальных дошкольных образовательных организациях и муниципальных общеобразовательных организациях,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образовательных организациях</t>
  </si>
  <si>
    <t>Финансовое обеспечение государственных полномочий по выплатам лицам из числа детей-сирот и детей, оставшихся без попечения родителей, достигшим 18 лет, но продолжающим обучение в муниципальной образовательной организации, до окончания обучения</t>
  </si>
  <si>
    <t>Реализация мероприятий по развитию и сохранению культуры в муниципальных образованиях Амурской  области</t>
  </si>
  <si>
    <t>Оснащение объектов спортивной инфраструктуры спортивно-технологическим оборудованием  на 2020-2021 годы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</si>
  <si>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</si>
  <si>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Субсидия юридическим лицам, индивидуальным предпринимателям на возмещение недополученных доходов в связи с бесплатным предоставлением отдельным категориям граждан парикмахерских услуг (стрижка волос)</t>
  </si>
  <si>
    <t>Строительство инженерной инфраструктуры к физкультурно-оздоровительному комплексу в квартале 408 г.Благовещенск, Амурская область (в т.ч. проектные работы)</t>
  </si>
  <si>
    <t>03 1 01 40830</t>
  </si>
  <si>
    <t>03 1 01 40840</t>
  </si>
  <si>
    <t>Магистральные улицы Северного планировочного района г. Благовещенска, Амурская область (ул. Зелёная от ул. Новотроицкое шоссе до ул. 50 лет Октября) (в т.ч. проектные работы)</t>
  </si>
  <si>
    <t>02 1 01 40630</t>
  </si>
  <si>
    <t>03 1 01 10700</t>
  </si>
  <si>
    <t>03 1 01 10710</t>
  </si>
  <si>
    <t>Основное мероприятие "Развитие инфраструктуры  дошкольного, общего и дополнительного образования"</t>
  </si>
  <si>
    <t>Основное мероприятие "Федеральный проект "Дорожная сеть"</t>
  </si>
  <si>
    <t>02 1 R1 00000</t>
  </si>
  <si>
    <t>Иные расходы, не отнесенные к другим целевым статьям</t>
  </si>
  <si>
    <t>00 2 00 00000</t>
  </si>
  <si>
    <t>Выполнение работ по разработке схемы газоснабжения города Благовещенска</t>
  </si>
  <si>
    <t>Капитальный ремонт ул. Мухина от ул. Пролетарская до ул. Зейская</t>
  </si>
  <si>
    <t>Капитальный ремонт жилищного фонда г. Благовещенска</t>
  </si>
  <si>
    <t xml:space="preserve">Стимулирование программ развития жилищного строительства субъектов Российской Федерации (Строительство, реконструкция и расширение систем водоснабжения и канализации в г. Благовещенске (водовод от насосной станции второго подъема водозабора "Северный "до распределительной сети города) </t>
  </si>
  <si>
    <t>Тепло- и водоснабжение жилых домов в районе "Астрахановка" г. Благовещенск</t>
  </si>
  <si>
    <t>Строительство сетей водоснабжения в кварталах 197, 203, 204 г. Благовещенск, Амурская область (в т.ч. проектные работы)</t>
  </si>
  <si>
    <t>Ликвидационный тампонаж скважины в с. Белогорье</t>
  </si>
  <si>
    <t>Строительство станции обезжелезивания с. Белогорье (в т.ч. проектные работы)</t>
  </si>
  <si>
    <t>Строительство инженерной инфраструктуры к физкультурно-оздоровительному комплексу в квартале 266 г. Благовещенск, Амурская область (в т.ч. проектные работы)</t>
  </si>
  <si>
    <t>Дошкольное образовательное учреждение на 350 мест в Северном планировочном районе г. Благовещенск, Амурская область (в т.ч.проектные работы)</t>
  </si>
  <si>
    <t>Подпрограмма "Библиотечное обслуживание"</t>
  </si>
  <si>
    <t>Приложение № 3</t>
  </si>
  <si>
    <t>Разработка документации по развитию системы сбора и отведения поверхностных сточных вод на территории города Благовещенска</t>
  </si>
  <si>
    <t>Ремонт жилых помещений ветеранов Великой Отечественной войны (субсидия юридическим лицам и индивидуальным предпринимателям на возмещение затрат, связанных с ремонтом жилых помещений ветеранов Великой Отечественной Войны, расположенных на территории муниципального образования города Благовещенска, в 2020 году)</t>
  </si>
  <si>
    <t>00 2 00 70011</t>
  </si>
  <si>
    <t>от 27.02.2020 № 8/14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</si>
</sst>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.0"/>
    <numFmt numFmtId="166" formatCode="0.0"/>
  </numFmts>
  <fonts count="18" x14ac:knownFonts="1">
    <font>
      <sz val="11"/>
      <color theme="1"/>
      <name val="Times New Roman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 Cyr"/>
      <charset val="204"/>
    </font>
    <font>
      <sz val="12"/>
      <color theme="1"/>
      <name val="Times New Roman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sz val="10.5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4" fillId="0" borderId="0"/>
    <xf numFmtId="164" fontId="1" fillId="0" borderId="0" applyFont="0" applyFill="0" applyBorder="0" applyAlignment="0" applyProtection="0"/>
    <xf numFmtId="0" fontId="1" fillId="0" borderId="0"/>
    <xf numFmtId="0" fontId="4" fillId="0" borderId="0"/>
  </cellStyleXfs>
  <cellXfs count="151">
    <xf numFmtId="0" fontId="0" fillId="0" borderId="0" xfId="0"/>
    <xf numFmtId="1" fontId="5" fillId="0" borderId="0" xfId="1" applyNumberFormat="1" applyFont="1" applyFill="1" applyBorder="1" applyAlignment="1">
      <alignment horizontal="left" wrapText="1"/>
    </xf>
    <xf numFmtId="0" fontId="6" fillId="0" borderId="0" xfId="2" applyFont="1" applyFill="1" applyAlignment="1">
      <alignment vertical="center" wrapText="1"/>
    </xf>
    <xf numFmtId="0" fontId="6" fillId="0" borderId="0" xfId="2" applyFont="1" applyFill="1" applyAlignment="1">
      <alignment horizontal="left"/>
    </xf>
    <xf numFmtId="0" fontId="6" fillId="0" borderId="0" xfId="2" applyFont="1" applyFill="1"/>
    <xf numFmtId="1" fontId="5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1" fontId="8" fillId="0" borderId="0" xfId="1" applyNumberFormat="1" applyFont="1" applyFill="1" applyBorder="1" applyAlignment="1">
      <alignment horizontal="left" wrapText="1"/>
    </xf>
    <xf numFmtId="49" fontId="8" fillId="0" borderId="0" xfId="1" applyNumberFormat="1" applyFont="1" applyFill="1" applyAlignment="1">
      <alignment horizontal="center"/>
    </xf>
    <xf numFmtId="0" fontId="8" fillId="0" borderId="0" xfId="1" applyFont="1" applyFill="1" applyAlignment="1">
      <alignment horizontal="center"/>
    </xf>
    <xf numFmtId="165" fontId="8" fillId="0" borderId="0" xfId="2" applyNumberFormat="1" applyFont="1" applyFill="1"/>
    <xf numFmtId="0" fontId="9" fillId="0" borderId="0" xfId="2" applyFont="1" applyFill="1"/>
    <xf numFmtId="49" fontId="8" fillId="0" borderId="0" xfId="1" applyNumberFormat="1" applyFont="1" applyFill="1" applyBorder="1" applyAlignment="1">
      <alignment horizontal="center"/>
    </xf>
    <xf numFmtId="49" fontId="5" fillId="0" borderId="0" xfId="1" applyNumberFormat="1" applyFont="1" applyFill="1" applyAlignment="1">
      <alignment horizontal="center"/>
    </xf>
    <xf numFmtId="49" fontId="5" fillId="0" borderId="0" xfId="1" applyNumberFormat="1" applyFont="1" applyFill="1" applyBorder="1" applyAlignment="1">
      <alignment horizontal="center"/>
    </xf>
    <xf numFmtId="0" fontId="5" fillId="0" borderId="0" xfId="1" applyFont="1" applyFill="1" applyAlignment="1">
      <alignment horizontal="center"/>
    </xf>
    <xf numFmtId="0" fontId="10" fillId="0" borderId="0" xfId="2" applyFont="1" applyFill="1"/>
    <xf numFmtId="49" fontId="5" fillId="0" borderId="0" xfId="2" applyNumberFormat="1" applyFont="1" applyFill="1" applyAlignment="1">
      <alignment horizontal="center"/>
    </xf>
    <xf numFmtId="165" fontId="5" fillId="0" borderId="0" xfId="0" applyNumberFormat="1" applyFont="1" applyFill="1"/>
    <xf numFmtId="49" fontId="5" fillId="0" borderId="0" xfId="2" applyNumberFormat="1" applyFont="1" applyFill="1" applyBorder="1" applyAlignment="1">
      <alignment horizontal="center"/>
    </xf>
    <xf numFmtId="0" fontId="5" fillId="0" borderId="0" xfId="2" applyFont="1" applyFill="1" applyAlignment="1">
      <alignment horizontal="center"/>
    </xf>
    <xf numFmtId="0" fontId="5" fillId="0" borderId="0" xfId="2" applyFont="1" applyFill="1" applyAlignment="1">
      <alignment horizontal="left" wrapText="1"/>
    </xf>
    <xf numFmtId="49" fontId="8" fillId="0" borderId="0" xfId="2" applyNumberFormat="1" applyFont="1" applyFill="1" applyBorder="1" applyAlignment="1">
      <alignment horizontal="center"/>
    </xf>
    <xf numFmtId="0" fontId="8" fillId="0" borderId="0" xfId="2" applyFont="1" applyFill="1" applyAlignment="1">
      <alignment horizontal="center"/>
    </xf>
    <xf numFmtId="0" fontId="5" fillId="0" borderId="0" xfId="2" applyFont="1" applyFill="1" applyAlignment="1">
      <alignment wrapText="1"/>
    </xf>
    <xf numFmtId="165" fontId="5" fillId="0" borderId="0" xfId="2" applyNumberFormat="1" applyFont="1" applyFill="1" applyAlignment="1">
      <alignment horizontal="right"/>
    </xf>
    <xf numFmtId="165" fontId="8" fillId="0" borderId="0" xfId="1" applyNumberFormat="1" applyFont="1" applyFill="1" applyAlignment="1">
      <alignment horizontal="right"/>
    </xf>
    <xf numFmtId="1" fontId="5" fillId="0" borderId="0" xfId="1" applyNumberFormat="1" applyFont="1" applyFill="1" applyBorder="1" applyAlignment="1">
      <alignment horizontal="left" vertical="center" wrapText="1"/>
    </xf>
    <xf numFmtId="165" fontId="10" fillId="0" borderId="0" xfId="2" applyNumberFormat="1" applyFont="1" applyFill="1"/>
    <xf numFmtId="0" fontId="5" fillId="0" borderId="0" xfId="1" applyFont="1" applyFill="1" applyAlignment="1">
      <alignment horizontal="left" vertical="center" wrapText="1"/>
    </xf>
    <xf numFmtId="0" fontId="5" fillId="0" borderId="0" xfId="1" applyFont="1" applyFill="1" applyAlignment="1">
      <alignment vertical="center" wrapText="1"/>
    </xf>
    <xf numFmtId="165" fontId="8" fillId="0" borderId="0" xfId="2" applyNumberFormat="1" applyFont="1" applyFill="1" applyAlignment="1">
      <alignment horizontal="right"/>
    </xf>
    <xf numFmtId="1" fontId="12" fillId="0" borderId="0" xfId="1" applyNumberFormat="1" applyFont="1" applyFill="1" applyBorder="1" applyAlignment="1">
      <alignment horizontal="left" wrapText="1"/>
    </xf>
    <xf numFmtId="0" fontId="12" fillId="0" borderId="0" xfId="1" applyFont="1" applyFill="1" applyAlignment="1">
      <alignment horizontal="left" wrapText="1"/>
    </xf>
    <xf numFmtId="1" fontId="8" fillId="0" borderId="0" xfId="2" applyNumberFormat="1" applyFont="1" applyFill="1" applyBorder="1" applyAlignment="1">
      <alignment horizontal="left" vertical="center" wrapText="1"/>
    </xf>
    <xf numFmtId="49" fontId="8" fillId="0" borderId="0" xfId="2" applyNumberFormat="1" applyFont="1" applyFill="1" applyBorder="1" applyAlignment="1">
      <alignment horizontal="left"/>
    </xf>
    <xf numFmtId="1" fontId="8" fillId="0" borderId="0" xfId="1" applyNumberFormat="1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justify" vertical="top" wrapText="1"/>
    </xf>
    <xf numFmtId="1" fontId="5" fillId="0" borderId="0" xfId="2" applyNumberFormat="1" applyFont="1" applyFill="1" applyBorder="1" applyAlignment="1">
      <alignment horizontal="left" vertical="center" wrapText="1"/>
    </xf>
    <xf numFmtId="49" fontId="5" fillId="0" borderId="0" xfId="2" applyNumberFormat="1" applyFont="1" applyFill="1" applyBorder="1" applyAlignment="1">
      <alignment horizontal="left"/>
    </xf>
    <xf numFmtId="0" fontId="5" fillId="0" borderId="0" xfId="2" applyFont="1" applyFill="1" applyAlignment="1">
      <alignment horizontal="left" vertical="center" wrapText="1"/>
    </xf>
    <xf numFmtId="0" fontId="5" fillId="0" borderId="0" xfId="2" applyFont="1" applyFill="1" applyBorder="1" applyAlignment="1">
      <alignment vertical="top" wrapText="1"/>
    </xf>
    <xf numFmtId="0" fontId="5" fillId="0" borderId="0" xfId="2" applyFont="1" applyFill="1" applyAlignment="1">
      <alignment vertical="center" wrapText="1"/>
    </xf>
    <xf numFmtId="0" fontId="8" fillId="0" borderId="0" xfId="2" applyFont="1" applyFill="1" applyBorder="1" applyAlignment="1">
      <alignment vertical="center" wrapText="1"/>
    </xf>
    <xf numFmtId="0" fontId="5" fillId="0" borderId="0" xfId="2" applyFont="1" applyFill="1" applyBorder="1" applyAlignment="1">
      <alignment vertical="center" wrapText="1"/>
    </xf>
    <xf numFmtId="1" fontId="8" fillId="0" borderId="0" xfId="1" applyNumberFormat="1" applyFont="1" applyFill="1" applyBorder="1" applyAlignment="1">
      <alignment horizontal="center" wrapText="1"/>
    </xf>
    <xf numFmtId="165" fontId="13" fillId="0" borderId="0" xfId="2" applyNumberFormat="1" applyFont="1" applyFill="1" applyAlignment="1">
      <alignment horizontal="right"/>
    </xf>
    <xf numFmtId="166" fontId="14" fillId="0" borderId="0" xfId="2" applyNumberFormat="1" applyFont="1" applyFill="1"/>
    <xf numFmtId="0" fontId="10" fillId="0" borderId="0" xfId="2" applyFont="1" applyFill="1" applyAlignment="1">
      <alignment vertical="center" wrapText="1"/>
    </xf>
    <xf numFmtId="0" fontId="10" fillId="0" borderId="0" xfId="2" applyFont="1" applyFill="1" applyAlignment="1">
      <alignment horizontal="center"/>
    </xf>
    <xf numFmtId="165" fontId="10" fillId="0" borderId="0" xfId="2" applyNumberFormat="1" applyFont="1" applyFill="1" applyAlignment="1">
      <alignment horizontal="right"/>
    </xf>
    <xf numFmtId="165" fontId="6" fillId="0" borderId="1" xfId="2" applyNumberFormat="1" applyFont="1" applyFill="1" applyBorder="1" applyAlignment="1">
      <alignment horizontal="right"/>
    </xf>
    <xf numFmtId="3" fontId="15" fillId="0" borderId="0" xfId="4" applyNumberFormat="1" applyFont="1" applyFill="1" applyBorder="1" applyAlignment="1" applyProtection="1">
      <alignment horizontal="left" vertical="center" wrapText="1"/>
      <protection locked="0"/>
    </xf>
    <xf numFmtId="165" fontId="8" fillId="0" borderId="0" xfId="0" applyNumberFormat="1" applyFont="1" applyFill="1"/>
    <xf numFmtId="165" fontId="9" fillId="0" borderId="0" xfId="2" applyNumberFormat="1" applyFont="1" applyFill="1"/>
    <xf numFmtId="1" fontId="8" fillId="0" borderId="0" xfId="1" applyNumberFormat="1" applyFont="1" applyFill="1" applyBorder="1" applyAlignment="1">
      <alignment wrapText="1"/>
    </xf>
    <xf numFmtId="1" fontId="8" fillId="0" borderId="0" xfId="1" applyNumberFormat="1" applyFont="1" applyFill="1" applyBorder="1" applyAlignment="1">
      <alignment horizontal="center"/>
    </xf>
    <xf numFmtId="165" fontId="5" fillId="0" borderId="0" xfId="2" applyNumberFormat="1" applyFont="1" applyFill="1"/>
    <xf numFmtId="165" fontId="5" fillId="0" borderId="0" xfId="0" applyNumberFormat="1" applyFont="1" applyFill="1" applyAlignment="1"/>
    <xf numFmtId="0" fontId="5" fillId="0" borderId="0" xfId="1" applyFont="1" applyFill="1" applyAlignment="1">
      <alignment horizontal="left" wrapText="1"/>
    </xf>
    <xf numFmtId="0" fontId="5" fillId="0" borderId="0" xfId="1" applyFont="1" applyFill="1" applyBorder="1" applyAlignment="1">
      <alignment horizontal="left" wrapText="1"/>
    </xf>
    <xf numFmtId="0" fontId="5" fillId="0" borderId="0" xfId="1" applyNumberFormat="1" applyFont="1" applyFill="1" applyAlignment="1">
      <alignment wrapText="1"/>
    </xf>
    <xf numFmtId="0" fontId="5" fillId="0" borderId="0" xfId="2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1" fontId="5" fillId="0" borderId="0" xfId="1" applyNumberFormat="1" applyFont="1" applyFill="1" applyBorder="1" applyAlignment="1">
      <alignment wrapText="1"/>
    </xf>
    <xf numFmtId="1" fontId="8" fillId="0" borderId="0" xfId="7" applyNumberFormat="1" applyFont="1" applyFill="1" applyBorder="1" applyAlignment="1">
      <alignment horizontal="left" wrapText="1"/>
    </xf>
    <xf numFmtId="49" fontId="8" fillId="0" borderId="0" xfId="7" applyNumberFormat="1" applyFont="1" applyFill="1" applyBorder="1" applyAlignment="1">
      <alignment horizontal="center"/>
    </xf>
    <xf numFmtId="0" fontId="8" fillId="0" borderId="0" xfId="2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5" fillId="0" borderId="0" xfId="7" applyFont="1" applyFill="1" applyBorder="1" applyAlignment="1">
      <alignment horizontal="left" wrapText="1"/>
    </xf>
    <xf numFmtId="49" fontId="5" fillId="0" borderId="0" xfId="7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wrapText="1"/>
    </xf>
    <xf numFmtId="49" fontId="8" fillId="0" borderId="0" xfId="0" applyNumberFormat="1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1" fontId="5" fillId="0" borderId="0" xfId="5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horizontal="left" wrapText="1"/>
    </xf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 wrapText="1"/>
    </xf>
    <xf numFmtId="0" fontId="8" fillId="0" borderId="0" xfId="1" applyFont="1" applyFill="1" applyBorder="1" applyAlignment="1">
      <alignment horizontal="left" wrapText="1"/>
    </xf>
    <xf numFmtId="49" fontId="5" fillId="0" borderId="0" xfId="3" applyNumberFormat="1" applyFont="1" applyFill="1" applyBorder="1" applyAlignment="1">
      <alignment horizontal="center"/>
    </xf>
    <xf numFmtId="1" fontId="8" fillId="0" borderId="0" xfId="2" applyNumberFormat="1" applyFont="1" applyFill="1" applyBorder="1" applyAlignment="1">
      <alignment horizontal="left" wrapText="1"/>
    </xf>
    <xf numFmtId="0" fontId="8" fillId="0" borderId="0" xfId="1" applyFont="1" applyFill="1" applyAlignment="1">
      <alignment wrapText="1"/>
    </xf>
    <xf numFmtId="0" fontId="5" fillId="0" borderId="0" xfId="5" applyFont="1" applyFill="1" applyAlignment="1">
      <alignment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left" wrapText="1"/>
    </xf>
    <xf numFmtId="0" fontId="5" fillId="0" borderId="0" xfId="5" applyNumberFormat="1" applyFont="1" applyFill="1" applyAlignment="1">
      <alignment wrapText="1"/>
    </xf>
    <xf numFmtId="49" fontId="5" fillId="0" borderId="0" xfId="5" applyNumberFormat="1" applyFont="1" applyFill="1" applyBorder="1" applyAlignment="1">
      <alignment horizontal="center"/>
    </xf>
    <xf numFmtId="0" fontId="5" fillId="0" borderId="0" xfId="5" applyFont="1" applyFill="1" applyAlignment="1">
      <alignment horizontal="center"/>
    </xf>
    <xf numFmtId="0" fontId="5" fillId="0" borderId="0" xfId="0" applyFont="1" applyFill="1" applyAlignment="1">
      <alignment wrapText="1"/>
    </xf>
    <xf numFmtId="0" fontId="5" fillId="0" borderId="0" xfId="2" applyFont="1" applyFill="1" applyBorder="1" applyAlignment="1">
      <alignment horizontal="left" wrapText="1"/>
    </xf>
    <xf numFmtId="1" fontId="5" fillId="0" borderId="0" xfId="2" applyNumberFormat="1" applyFont="1" applyFill="1" applyBorder="1" applyAlignment="1">
      <alignment horizontal="left" wrapText="1"/>
    </xf>
    <xf numFmtId="0" fontId="5" fillId="0" borderId="0" xfId="5" applyFont="1" applyFill="1" applyBorder="1" applyAlignment="1">
      <alignment wrapText="1"/>
    </xf>
    <xf numFmtId="0" fontId="5" fillId="0" borderId="0" xfId="2" applyFont="1" applyFill="1" applyBorder="1" applyAlignment="1">
      <alignment wrapText="1"/>
    </xf>
    <xf numFmtId="0" fontId="5" fillId="0" borderId="0" xfId="5" applyFont="1" applyFill="1" applyBorder="1" applyAlignment="1">
      <alignment horizontal="left" wrapText="1"/>
    </xf>
    <xf numFmtId="0" fontId="5" fillId="0" borderId="0" xfId="2" applyNumberFormat="1" applyFont="1" applyFill="1" applyAlignment="1">
      <alignment wrapText="1"/>
    </xf>
    <xf numFmtId="165" fontId="8" fillId="0" borderId="0" xfId="2" applyNumberFormat="1" applyFont="1" applyFill="1" applyAlignment="1"/>
    <xf numFmtId="165" fontId="5" fillId="0" borderId="0" xfId="2" applyNumberFormat="1" applyFont="1" applyFill="1" applyAlignment="1"/>
    <xf numFmtId="4" fontId="5" fillId="0" borderId="0" xfId="4" applyNumberFormat="1" applyFont="1" applyFill="1" applyBorder="1" applyAlignment="1">
      <alignment wrapText="1"/>
    </xf>
    <xf numFmtId="0" fontId="5" fillId="0" borderId="0" xfId="4" applyFont="1" applyFill="1" applyBorder="1" applyAlignment="1">
      <alignment horizontal="center"/>
    </xf>
    <xf numFmtId="49" fontId="5" fillId="0" borderId="0" xfId="4" applyNumberFormat="1" applyFont="1" applyFill="1" applyBorder="1" applyAlignment="1">
      <alignment horizontal="center"/>
    </xf>
    <xf numFmtId="165" fontId="5" fillId="0" borderId="0" xfId="2" applyNumberFormat="1" applyFont="1" applyFill="1" applyBorder="1" applyAlignment="1"/>
    <xf numFmtId="0" fontId="5" fillId="0" borderId="0" xfId="4" applyFont="1" applyFill="1" applyBorder="1" applyAlignment="1">
      <alignment horizontal="left" wrapText="1"/>
    </xf>
    <xf numFmtId="1" fontId="5" fillId="0" borderId="0" xfId="4" applyNumberFormat="1" applyFont="1" applyFill="1" applyBorder="1" applyAlignment="1">
      <alignment horizontal="left" wrapText="1"/>
    </xf>
    <xf numFmtId="165" fontId="8" fillId="0" borderId="0" xfId="2" applyNumberFormat="1" applyFont="1" applyFill="1" applyBorder="1" applyAlignment="1"/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0" fontId="5" fillId="0" borderId="0" xfId="0" applyFont="1" applyFill="1" applyAlignment="1">
      <alignment horizontal="left" vertical="top" wrapText="1"/>
    </xf>
    <xf numFmtId="49" fontId="5" fillId="0" borderId="0" xfId="1" applyNumberFormat="1" applyFont="1" applyFill="1" applyBorder="1" applyAlignment="1">
      <alignment horizontal="center" wrapText="1"/>
    </xf>
    <xf numFmtId="4" fontId="5" fillId="0" borderId="0" xfId="5" applyNumberFormat="1" applyFont="1" applyFill="1" applyBorder="1" applyAlignment="1">
      <alignment wrapText="1"/>
    </xf>
    <xf numFmtId="165" fontId="5" fillId="0" borderId="0" xfId="2" applyNumberFormat="1" applyFont="1" applyFill="1" applyBorder="1" applyAlignment="1">
      <alignment horizontal="right"/>
    </xf>
    <xf numFmtId="49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left" wrapText="1"/>
    </xf>
    <xf numFmtId="0" fontId="5" fillId="0" borderId="0" xfId="1" applyFont="1" applyFill="1" applyAlignment="1">
      <alignment wrapText="1"/>
    </xf>
    <xf numFmtId="49" fontId="5" fillId="0" borderId="0" xfId="0" applyNumberFormat="1" applyFont="1" applyFill="1" applyBorder="1" applyAlignment="1">
      <alignment horizontal="center" wrapText="1"/>
    </xf>
    <xf numFmtId="49" fontId="8" fillId="0" borderId="0" xfId="1" applyNumberFormat="1" applyFont="1" applyFill="1" applyBorder="1" applyAlignment="1">
      <alignment horizontal="center" wrapText="1"/>
    </xf>
    <xf numFmtId="0" fontId="5" fillId="0" borderId="0" xfId="0" applyFont="1" applyFill="1" applyAlignment="1">
      <alignment horizontal="justify" vertical="top" wrapText="1"/>
    </xf>
    <xf numFmtId="49" fontId="5" fillId="0" borderId="0" xfId="2" applyNumberFormat="1" applyFont="1" applyFill="1" applyBorder="1" applyAlignment="1">
      <alignment horizontal="center" wrapText="1"/>
    </xf>
    <xf numFmtId="0" fontId="8" fillId="0" borderId="0" xfId="2" applyFont="1" applyFill="1" applyBorder="1" applyAlignment="1">
      <alignment wrapText="1"/>
    </xf>
    <xf numFmtId="165" fontId="5" fillId="0" borderId="0" xfId="8" applyNumberFormat="1" applyFont="1" applyFill="1" applyAlignment="1"/>
    <xf numFmtId="0" fontId="5" fillId="0" borderId="0" xfId="0" applyFont="1" applyFill="1" applyAlignment="1">
      <alignment horizontal="justify" vertical="center" wrapText="1"/>
    </xf>
    <xf numFmtId="49" fontId="5" fillId="0" borderId="0" xfId="5" applyNumberFormat="1" applyFont="1" applyFill="1" applyAlignment="1">
      <alignment horizontal="center"/>
    </xf>
    <xf numFmtId="1" fontId="5" fillId="0" borderId="0" xfId="5" applyNumberFormat="1" applyFont="1" applyFill="1" applyBorder="1" applyAlignment="1">
      <alignment vertical="top" wrapText="1"/>
    </xf>
    <xf numFmtId="0" fontId="5" fillId="0" borderId="0" xfId="5" applyFont="1" applyFill="1" applyAlignment="1">
      <alignment vertical="top" wrapText="1"/>
    </xf>
    <xf numFmtId="0" fontId="5" fillId="0" borderId="0" xfId="2" applyNumberFormat="1" applyFont="1" applyFill="1" applyAlignment="1">
      <alignment vertical="top" wrapText="1"/>
    </xf>
    <xf numFmtId="0" fontId="5" fillId="0" borderId="0" xfId="8" applyFont="1" applyFill="1" applyAlignment="1">
      <alignment horizontal="left" wrapText="1"/>
    </xf>
    <xf numFmtId="165" fontId="5" fillId="0" borderId="0" xfId="8" applyNumberFormat="1" applyFont="1" applyFill="1" applyBorder="1" applyAlignment="1"/>
    <xf numFmtId="0" fontId="5" fillId="0" borderId="0" xfId="0" applyFont="1" applyFill="1" applyBorder="1" applyAlignment="1">
      <alignment vertical="center" wrapText="1"/>
    </xf>
    <xf numFmtId="1" fontId="5" fillId="0" borderId="0" xfId="1" applyNumberFormat="1" applyFont="1" applyFill="1" applyBorder="1" applyAlignment="1">
      <alignment horizontal="left" vertical="top" wrapText="1"/>
    </xf>
    <xf numFmtId="165" fontId="5" fillId="0" borderId="0" xfId="0" applyNumberFormat="1" applyFont="1" applyFill="1" applyBorder="1"/>
    <xf numFmtId="0" fontId="5" fillId="0" borderId="0" xfId="0" applyFont="1" applyFill="1" applyBorder="1" applyAlignment="1">
      <alignment vertical="top" wrapText="1"/>
    </xf>
    <xf numFmtId="2" fontId="5" fillId="0" borderId="0" xfId="5" applyNumberFormat="1" applyFont="1" applyFill="1" applyBorder="1" applyAlignment="1">
      <alignment wrapText="1"/>
    </xf>
    <xf numFmtId="0" fontId="5" fillId="0" borderId="0" xfId="0" applyFont="1" applyFill="1" applyAlignment="1">
      <alignment horizontal="justify"/>
    </xf>
    <xf numFmtId="166" fontId="16" fillId="0" borderId="0" xfId="0" applyNumberFormat="1" applyFont="1" applyFill="1"/>
    <xf numFmtId="166" fontId="5" fillId="0" borderId="0" xfId="8" applyNumberFormat="1" applyFont="1" applyFill="1" applyBorder="1" applyAlignment="1"/>
    <xf numFmtId="0" fontId="5" fillId="0" borderId="0" xfId="2" applyFont="1" applyFill="1" applyBorder="1" applyAlignment="1"/>
    <xf numFmtId="165" fontId="8" fillId="0" borderId="0" xfId="8" applyNumberFormat="1" applyFont="1" applyFill="1" applyAlignment="1"/>
    <xf numFmtId="0" fontId="15" fillId="0" borderId="0" xfId="0" applyFont="1" applyFill="1" applyAlignment="1">
      <alignment horizontal="justify"/>
    </xf>
    <xf numFmtId="0" fontId="17" fillId="0" borderId="0" xfId="0" applyFont="1" applyFill="1" applyAlignment="1">
      <alignment wrapText="1"/>
    </xf>
    <xf numFmtId="49" fontId="17" fillId="0" borderId="0" xfId="5" applyNumberFormat="1" applyFont="1" applyFill="1" applyBorder="1" applyAlignment="1">
      <alignment horizontal="center"/>
    </xf>
    <xf numFmtId="1" fontId="5" fillId="2" borderId="0" xfId="1" applyNumberFormat="1" applyFont="1" applyFill="1" applyBorder="1" applyAlignment="1">
      <alignment horizontal="left" wrapText="1"/>
    </xf>
    <xf numFmtId="1" fontId="17" fillId="0" borderId="0" xfId="1" applyNumberFormat="1" applyFont="1" applyFill="1" applyBorder="1" applyAlignment="1">
      <alignment wrapText="1"/>
    </xf>
    <xf numFmtId="0" fontId="17" fillId="0" borderId="0" xfId="5" applyFont="1" applyFill="1" applyAlignment="1">
      <alignment wrapText="1"/>
    </xf>
    <xf numFmtId="0" fontId="8" fillId="0" borderId="0" xfId="2" applyFont="1" applyFill="1" applyAlignment="1">
      <alignment horizontal="center" vertical="center" wrapText="1"/>
    </xf>
    <xf numFmtId="0" fontId="7" fillId="0" borderId="0" xfId="2" applyFont="1" applyFill="1" applyAlignment="1">
      <alignment horizontal="left" wrapText="1"/>
    </xf>
    <xf numFmtId="0" fontId="6" fillId="0" borderId="0" xfId="2" applyFont="1" applyFill="1" applyAlignment="1">
      <alignment horizontal="right" wrapText="1"/>
    </xf>
    <xf numFmtId="0" fontId="6" fillId="0" borderId="0" xfId="2" applyFont="1" applyFill="1" applyAlignment="1">
      <alignment horizontal="right"/>
    </xf>
  </cellXfs>
  <cellStyles count="9">
    <cellStyle name="Обычный" xfId="0" builtinId="0"/>
    <cellStyle name="Обычный 2" xfId="4"/>
    <cellStyle name="Обычный 3" xfId="1"/>
    <cellStyle name="Обычный 3 2" xfId="7"/>
    <cellStyle name="Обычный 4" xfId="2"/>
    <cellStyle name="Обычный 5" xfId="5"/>
    <cellStyle name="Обычный 6" xfId="8"/>
    <cellStyle name="Обычный_ноябрь 2003" xfId="3"/>
    <cellStyle name="Финансов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5"/>
  <sheetViews>
    <sheetView tabSelected="1" zoomScale="90" zoomScaleNormal="90" workbookViewId="0">
      <selection activeCell="F4" sqref="F4:G4"/>
    </sheetView>
  </sheetViews>
  <sheetFormatPr defaultColWidth="9.140625" defaultRowHeight="15" x14ac:dyDescent="0.25"/>
  <cols>
    <col min="1" max="1" width="69.28515625" style="50" customWidth="1"/>
    <col min="2" max="2" width="7.28515625" style="18" customWidth="1"/>
    <col min="3" max="3" width="14.7109375" style="51" customWidth="1"/>
    <col min="4" max="4" width="6.140625" style="52" customWidth="1"/>
    <col min="5" max="5" width="12.5703125" style="18" customWidth="1"/>
    <col min="6" max="6" width="13" style="18" customWidth="1"/>
    <col min="7" max="7" width="12.28515625" style="18" customWidth="1"/>
    <col min="8" max="16384" width="9.140625" style="18"/>
  </cols>
  <sheetData>
    <row r="1" spans="1:7" s="4" customFormat="1" ht="12.75" x14ac:dyDescent="0.2">
      <c r="A1" s="2"/>
      <c r="B1" s="3"/>
      <c r="C1" s="149" t="s">
        <v>600</v>
      </c>
      <c r="D1" s="149"/>
      <c r="E1" s="149"/>
      <c r="F1" s="149"/>
      <c r="G1" s="149"/>
    </row>
    <row r="2" spans="1:7" s="4" customFormat="1" ht="12.75" x14ac:dyDescent="0.2">
      <c r="A2" s="2"/>
      <c r="B2" s="3"/>
      <c r="C2" s="149" t="s">
        <v>0</v>
      </c>
      <c r="D2" s="149"/>
      <c r="E2" s="149"/>
      <c r="F2" s="149"/>
      <c r="G2" s="149"/>
    </row>
    <row r="3" spans="1:7" s="4" customFormat="1" ht="12.75" x14ac:dyDescent="0.2">
      <c r="A3" s="2"/>
      <c r="B3" s="3"/>
      <c r="C3" s="149" t="s">
        <v>1</v>
      </c>
      <c r="D3" s="149"/>
      <c r="E3" s="149"/>
      <c r="F3" s="149"/>
      <c r="G3" s="149"/>
    </row>
    <row r="4" spans="1:7" s="4" customFormat="1" ht="12.75" x14ac:dyDescent="0.2">
      <c r="A4" s="2"/>
      <c r="B4" s="3"/>
      <c r="C4" s="149"/>
      <c r="D4" s="149"/>
      <c r="E4" s="149"/>
      <c r="F4" s="150" t="s">
        <v>604</v>
      </c>
      <c r="G4" s="150"/>
    </row>
    <row r="5" spans="1:7" s="4" customFormat="1" ht="12.75" x14ac:dyDescent="0.2">
      <c r="A5" s="2"/>
      <c r="B5" s="3"/>
      <c r="C5" s="148"/>
      <c r="D5" s="148"/>
      <c r="E5" s="148"/>
    </row>
    <row r="6" spans="1:7" s="4" customFormat="1" ht="50.25" customHeight="1" x14ac:dyDescent="0.2">
      <c r="A6" s="147" t="s">
        <v>437</v>
      </c>
      <c r="B6" s="147"/>
      <c r="C6" s="147"/>
      <c r="D6" s="147"/>
      <c r="E6" s="147"/>
      <c r="F6" s="147"/>
      <c r="G6" s="147"/>
    </row>
    <row r="7" spans="1:7" s="4" customFormat="1" ht="12.75" x14ac:dyDescent="0.2">
      <c r="A7" s="2"/>
      <c r="B7" s="3"/>
      <c r="G7" s="53" t="s">
        <v>378</v>
      </c>
    </row>
    <row r="8" spans="1:7" s="4" customFormat="1" x14ac:dyDescent="0.2">
      <c r="A8" s="5" t="s">
        <v>2</v>
      </c>
      <c r="B8" s="6" t="s">
        <v>3</v>
      </c>
      <c r="C8" s="6" t="s">
        <v>4</v>
      </c>
      <c r="D8" s="7" t="s">
        <v>5</v>
      </c>
      <c r="E8" s="8">
        <v>2020</v>
      </c>
      <c r="F8" s="8">
        <v>2021</v>
      </c>
      <c r="G8" s="8">
        <v>2022</v>
      </c>
    </row>
    <row r="9" spans="1:7" s="13" customFormat="1" x14ac:dyDescent="0.25">
      <c r="A9" s="9" t="s">
        <v>6</v>
      </c>
      <c r="B9" s="10" t="s">
        <v>7</v>
      </c>
      <c r="C9" s="58"/>
      <c r="D9" s="11"/>
      <c r="E9" s="12">
        <f>E10+E14+E29+E49+E60+E64+E56+E44</f>
        <v>621896.09999999986</v>
      </c>
      <c r="F9" s="12">
        <f>F10+F14+F29+F49+F60+F64+F56+F44</f>
        <v>504753.89999999997</v>
      </c>
      <c r="G9" s="12">
        <f>G10+G14+G29+G49+G60+G64+G56+G44</f>
        <v>518654.1</v>
      </c>
    </row>
    <row r="10" spans="1:7" s="13" customFormat="1" ht="29.25" x14ac:dyDescent="0.25">
      <c r="A10" s="9" t="s">
        <v>36</v>
      </c>
      <c r="B10" s="10" t="s">
        <v>37</v>
      </c>
      <c r="C10" s="14"/>
      <c r="D10" s="11"/>
      <c r="E10" s="12">
        <f>E11</f>
        <v>3033.7</v>
      </c>
      <c r="F10" s="12">
        <f t="shared" ref="F10:G12" si="0">F11</f>
        <v>2650.4</v>
      </c>
      <c r="G10" s="12">
        <f t="shared" si="0"/>
        <v>2756.5</v>
      </c>
    </row>
    <row r="11" spans="1:7" x14ac:dyDescent="0.25">
      <c r="A11" s="1" t="s">
        <v>10</v>
      </c>
      <c r="B11" s="15" t="s">
        <v>37</v>
      </c>
      <c r="C11" s="16" t="s">
        <v>11</v>
      </c>
      <c r="D11" s="17"/>
      <c r="E11" s="59">
        <f>E12</f>
        <v>3033.7</v>
      </c>
      <c r="F11" s="59">
        <f t="shared" si="0"/>
        <v>2650.4</v>
      </c>
      <c r="G11" s="59">
        <f t="shared" si="0"/>
        <v>2756.5</v>
      </c>
    </row>
    <row r="12" spans="1:7" x14ac:dyDescent="0.25">
      <c r="A12" s="1" t="s">
        <v>38</v>
      </c>
      <c r="B12" s="15" t="s">
        <v>37</v>
      </c>
      <c r="C12" s="16" t="s">
        <v>39</v>
      </c>
      <c r="D12" s="17"/>
      <c r="E12" s="59">
        <f>E13</f>
        <v>3033.7</v>
      </c>
      <c r="F12" s="59">
        <f t="shared" si="0"/>
        <v>2650.4</v>
      </c>
      <c r="G12" s="59">
        <f t="shared" si="0"/>
        <v>2756.5</v>
      </c>
    </row>
    <row r="13" spans="1:7" ht="60" x14ac:dyDescent="0.25">
      <c r="A13" s="1" t="s">
        <v>14</v>
      </c>
      <c r="B13" s="15" t="s">
        <v>37</v>
      </c>
      <c r="C13" s="16" t="s">
        <v>39</v>
      </c>
      <c r="D13" s="17">
        <v>100</v>
      </c>
      <c r="E13" s="123">
        <f>2547.1+486.6</f>
        <v>3033.7</v>
      </c>
      <c r="F13" s="123">
        <v>2650.4</v>
      </c>
      <c r="G13" s="123">
        <v>2756.5</v>
      </c>
    </row>
    <row r="14" spans="1:7" s="13" customFormat="1" ht="43.5" x14ac:dyDescent="0.25">
      <c r="A14" s="9" t="s">
        <v>8</v>
      </c>
      <c r="B14" s="10" t="s">
        <v>9</v>
      </c>
      <c r="C14" s="11"/>
      <c r="D14" s="12"/>
      <c r="E14" s="12">
        <f>E15</f>
        <v>41165.1</v>
      </c>
      <c r="F14" s="12">
        <f>F15</f>
        <v>35333.699999999997</v>
      </c>
      <c r="G14" s="12">
        <f>G15</f>
        <v>36232.199999999997</v>
      </c>
    </row>
    <row r="15" spans="1:7" s="13" customFormat="1" x14ac:dyDescent="0.25">
      <c r="A15" s="1" t="s">
        <v>10</v>
      </c>
      <c r="B15" s="15" t="s">
        <v>9</v>
      </c>
      <c r="C15" s="16" t="s">
        <v>11</v>
      </c>
      <c r="D15" s="17"/>
      <c r="E15" s="59">
        <f>SUM(E16++E18+E21+E23+++E27)</f>
        <v>41165.1</v>
      </c>
      <c r="F15" s="59">
        <f>SUM(F16++F18+F21+F23+++F27)</f>
        <v>35333.699999999997</v>
      </c>
      <c r="G15" s="59">
        <f>SUM(G16++G18+G21+G23+++G27)</f>
        <v>36232.199999999997</v>
      </c>
    </row>
    <row r="16" spans="1:7" s="13" customFormat="1" ht="18.75" customHeight="1" x14ac:dyDescent="0.25">
      <c r="A16" s="1" t="s">
        <v>12</v>
      </c>
      <c r="B16" s="15" t="s">
        <v>9</v>
      </c>
      <c r="C16" s="16" t="s">
        <v>13</v>
      </c>
      <c r="D16" s="17"/>
      <c r="E16" s="59">
        <f>E17</f>
        <v>2989.1</v>
      </c>
      <c r="F16" s="59">
        <f>F17</f>
        <v>2611.5</v>
      </c>
      <c r="G16" s="59">
        <f>G17</f>
        <v>2716</v>
      </c>
    </row>
    <row r="17" spans="1:7" s="13" customFormat="1" ht="60" x14ac:dyDescent="0.25">
      <c r="A17" s="1" t="s">
        <v>14</v>
      </c>
      <c r="B17" s="15" t="s">
        <v>9</v>
      </c>
      <c r="C17" s="16" t="s">
        <v>13</v>
      </c>
      <c r="D17" s="17">
        <v>100</v>
      </c>
      <c r="E17" s="123">
        <f>2509.6+479.5</f>
        <v>2989.1</v>
      </c>
      <c r="F17" s="123">
        <v>2611.5</v>
      </c>
      <c r="G17" s="123">
        <v>2716</v>
      </c>
    </row>
    <row r="18" spans="1:7" s="13" customFormat="1" ht="30" x14ac:dyDescent="0.25">
      <c r="A18" s="1" t="s">
        <v>15</v>
      </c>
      <c r="B18" s="15" t="s">
        <v>9</v>
      </c>
      <c r="C18" s="16" t="s">
        <v>16</v>
      </c>
      <c r="D18" s="17"/>
      <c r="E18" s="59">
        <f>E19+E20</f>
        <v>2736.8</v>
      </c>
      <c r="F18" s="59">
        <f>F19</f>
        <v>2391</v>
      </c>
      <c r="G18" s="59">
        <f>G19</f>
        <v>2486.6999999999998</v>
      </c>
    </row>
    <row r="19" spans="1:7" s="13" customFormat="1" ht="60" x14ac:dyDescent="0.25">
      <c r="A19" s="1" t="s">
        <v>14</v>
      </c>
      <c r="B19" s="15" t="s">
        <v>9</v>
      </c>
      <c r="C19" s="16" t="s">
        <v>16</v>
      </c>
      <c r="D19" s="17">
        <v>100</v>
      </c>
      <c r="E19" s="123">
        <f>2297.8+439-60</f>
        <v>2676.8</v>
      </c>
      <c r="F19" s="123">
        <v>2391</v>
      </c>
      <c r="G19" s="123">
        <v>2486.6999999999998</v>
      </c>
    </row>
    <row r="20" spans="1:7" s="13" customFormat="1" x14ac:dyDescent="0.25">
      <c r="A20" s="66" t="s">
        <v>29</v>
      </c>
      <c r="B20" s="15" t="s">
        <v>9</v>
      </c>
      <c r="C20" s="16" t="s">
        <v>16</v>
      </c>
      <c r="D20" s="17">
        <v>300</v>
      </c>
      <c r="E20" s="123">
        <v>60</v>
      </c>
      <c r="F20" s="123"/>
      <c r="G20" s="123"/>
    </row>
    <row r="21" spans="1:7" s="13" customFormat="1" x14ac:dyDescent="0.25">
      <c r="A21" s="1" t="s">
        <v>17</v>
      </c>
      <c r="B21" s="15" t="s">
        <v>9</v>
      </c>
      <c r="C21" s="16" t="s">
        <v>18</v>
      </c>
      <c r="D21" s="17"/>
      <c r="E21" s="59">
        <f>E22</f>
        <v>2544.3999999999996</v>
      </c>
      <c r="F21" s="59">
        <f>F22</f>
        <v>2222.9</v>
      </c>
      <c r="G21" s="59">
        <f>G22</f>
        <v>2311.8000000000002</v>
      </c>
    </row>
    <row r="22" spans="1:7" s="13" customFormat="1" ht="60" x14ac:dyDescent="0.25">
      <c r="A22" s="1" t="s">
        <v>14</v>
      </c>
      <c r="B22" s="15" t="s">
        <v>9</v>
      </c>
      <c r="C22" s="16" t="s">
        <v>18</v>
      </c>
      <c r="D22" s="17">
        <v>100</v>
      </c>
      <c r="E22" s="123">
        <f>2136.2+408.2</f>
        <v>2544.3999999999996</v>
      </c>
      <c r="F22" s="123">
        <v>2222.9</v>
      </c>
      <c r="G22" s="123">
        <v>2311.8000000000002</v>
      </c>
    </row>
    <row r="23" spans="1:7" s="13" customFormat="1" x14ac:dyDescent="0.25">
      <c r="A23" s="61" t="s">
        <v>19</v>
      </c>
      <c r="B23" s="15" t="s">
        <v>9</v>
      </c>
      <c r="C23" s="16" t="s">
        <v>20</v>
      </c>
      <c r="D23" s="17"/>
      <c r="E23" s="59">
        <f>SUM(E24:E26)</f>
        <v>19856.899999999998</v>
      </c>
      <c r="F23" s="59">
        <f>SUM(F24:F26)</f>
        <v>17609</v>
      </c>
      <c r="G23" s="59">
        <f>SUM(G24:G26)</f>
        <v>18218.400000000001</v>
      </c>
    </row>
    <row r="24" spans="1:7" s="13" customFormat="1" ht="60" x14ac:dyDescent="0.25">
      <c r="A24" s="1" t="s">
        <v>14</v>
      </c>
      <c r="B24" s="15" t="s">
        <v>9</v>
      </c>
      <c r="C24" s="16" t="s">
        <v>20</v>
      </c>
      <c r="D24" s="17">
        <v>100</v>
      </c>
      <c r="E24" s="123">
        <f>14732.8+2799.1</f>
        <v>17531.899999999998</v>
      </c>
      <c r="F24" s="123">
        <v>15326.8</v>
      </c>
      <c r="G24" s="123">
        <v>15936.2</v>
      </c>
    </row>
    <row r="25" spans="1:7" s="13" customFormat="1" ht="30" x14ac:dyDescent="0.25">
      <c r="A25" s="1" t="s">
        <v>21</v>
      </c>
      <c r="B25" s="15" t="s">
        <v>9</v>
      </c>
      <c r="C25" s="16" t="s">
        <v>20</v>
      </c>
      <c r="D25" s="17">
        <v>200</v>
      </c>
      <c r="E25" s="123">
        <v>2325</v>
      </c>
      <c r="F25" s="123">
        <v>2282.1999999999998</v>
      </c>
      <c r="G25" s="123">
        <v>2282.1999999999998</v>
      </c>
    </row>
    <row r="26" spans="1:7" s="13" customFormat="1" x14ac:dyDescent="0.25">
      <c r="A26" s="61" t="s">
        <v>22</v>
      </c>
      <c r="B26" s="15" t="s">
        <v>9</v>
      </c>
      <c r="C26" s="16" t="s">
        <v>20</v>
      </c>
      <c r="D26" s="17">
        <v>800</v>
      </c>
      <c r="E26" s="60"/>
      <c r="F26" s="60"/>
      <c r="G26" s="20"/>
    </row>
    <row r="27" spans="1:7" s="13" customFormat="1" x14ac:dyDescent="0.25">
      <c r="A27" s="1" t="s">
        <v>23</v>
      </c>
      <c r="B27" s="15" t="s">
        <v>9</v>
      </c>
      <c r="C27" s="16" t="s">
        <v>24</v>
      </c>
      <c r="D27" s="17"/>
      <c r="E27" s="59">
        <f>E28</f>
        <v>13037.9</v>
      </c>
      <c r="F27" s="59">
        <f>F28</f>
        <v>10499.3</v>
      </c>
      <c r="G27" s="59">
        <f>G28</f>
        <v>10499.3</v>
      </c>
    </row>
    <row r="28" spans="1:7" ht="60" x14ac:dyDescent="0.25">
      <c r="A28" s="1" t="s">
        <v>14</v>
      </c>
      <c r="B28" s="15" t="s">
        <v>9</v>
      </c>
      <c r="C28" s="16" t="s">
        <v>24</v>
      </c>
      <c r="D28" s="17">
        <v>100</v>
      </c>
      <c r="E28" s="123">
        <f>10499.3+2538.6</f>
        <v>13037.9</v>
      </c>
      <c r="F28" s="123">
        <v>10499.3</v>
      </c>
      <c r="G28" s="123">
        <v>10499.3</v>
      </c>
    </row>
    <row r="29" spans="1:7" s="13" customFormat="1" ht="43.5" x14ac:dyDescent="0.25">
      <c r="A29" s="9" t="s">
        <v>40</v>
      </c>
      <c r="B29" s="10" t="s">
        <v>41</v>
      </c>
      <c r="C29" s="14"/>
      <c r="D29" s="11"/>
      <c r="E29" s="12">
        <f>E30</f>
        <v>245377.50000000003</v>
      </c>
      <c r="F29" s="12">
        <f>F30</f>
        <v>216494</v>
      </c>
      <c r="G29" s="12">
        <f>G30</f>
        <v>224241.1</v>
      </c>
    </row>
    <row r="30" spans="1:7" x14ac:dyDescent="0.25">
      <c r="A30" s="1" t="s">
        <v>10</v>
      </c>
      <c r="B30" s="15" t="s">
        <v>41</v>
      </c>
      <c r="C30" s="16" t="s">
        <v>11</v>
      </c>
      <c r="D30" s="17"/>
      <c r="E30" s="59">
        <f>E31+E36</f>
        <v>245377.50000000003</v>
      </c>
      <c r="F30" s="59">
        <f>F31+F36</f>
        <v>216494</v>
      </c>
      <c r="G30" s="59">
        <f>G31+G36</f>
        <v>224241.1</v>
      </c>
    </row>
    <row r="31" spans="1:7" ht="30" x14ac:dyDescent="0.25">
      <c r="A31" s="62" t="s">
        <v>42</v>
      </c>
      <c r="B31" s="15" t="s">
        <v>41</v>
      </c>
      <c r="C31" s="16" t="s">
        <v>43</v>
      </c>
      <c r="D31" s="17"/>
      <c r="E31" s="59">
        <f>SUM(E32:E35)</f>
        <v>236925.50000000003</v>
      </c>
      <c r="F31" s="59">
        <f>SUM(F32:F35)</f>
        <v>209178.8</v>
      </c>
      <c r="G31" s="59">
        <f>SUM(G32:G35)</f>
        <v>216853.6</v>
      </c>
    </row>
    <row r="32" spans="1:7" ht="60" x14ac:dyDescent="0.25">
      <c r="A32" s="1" t="s">
        <v>14</v>
      </c>
      <c r="B32" s="15" t="s">
        <v>41</v>
      </c>
      <c r="C32" s="16" t="s">
        <v>43</v>
      </c>
      <c r="D32" s="17">
        <v>100</v>
      </c>
      <c r="E32" s="123">
        <f>188718.6-500+11100.5+23701.6</f>
        <v>223020.7</v>
      </c>
      <c r="F32" s="123">
        <v>196550.8</v>
      </c>
      <c r="G32" s="123">
        <v>204136.3</v>
      </c>
    </row>
    <row r="33" spans="1:7" ht="30" x14ac:dyDescent="0.25">
      <c r="A33" s="1" t="s">
        <v>21</v>
      </c>
      <c r="B33" s="15" t="s">
        <v>41</v>
      </c>
      <c r="C33" s="16" t="s">
        <v>43</v>
      </c>
      <c r="D33" s="17">
        <v>200</v>
      </c>
      <c r="E33" s="123">
        <v>11354.2</v>
      </c>
      <c r="F33" s="123">
        <v>10577.4</v>
      </c>
      <c r="G33" s="123">
        <v>10666.7</v>
      </c>
    </row>
    <row r="34" spans="1:7" x14ac:dyDescent="0.25">
      <c r="A34" s="66" t="s">
        <v>29</v>
      </c>
      <c r="B34" s="15" t="s">
        <v>41</v>
      </c>
      <c r="C34" s="16" t="s">
        <v>43</v>
      </c>
      <c r="D34" s="17">
        <v>300</v>
      </c>
      <c r="E34" s="123">
        <v>500</v>
      </c>
      <c r="F34" s="123"/>
      <c r="G34" s="123"/>
    </row>
    <row r="35" spans="1:7" x14ac:dyDescent="0.25">
      <c r="A35" s="61" t="s">
        <v>22</v>
      </c>
      <c r="B35" s="15" t="s">
        <v>41</v>
      </c>
      <c r="C35" s="16" t="s">
        <v>43</v>
      </c>
      <c r="D35" s="17">
        <v>800</v>
      </c>
      <c r="E35" s="123">
        <v>2050.6</v>
      </c>
      <c r="F35" s="123">
        <v>2050.6</v>
      </c>
      <c r="G35" s="123">
        <v>2050.6</v>
      </c>
    </row>
    <row r="36" spans="1:7" x14ac:dyDescent="0.25">
      <c r="A36" s="61" t="s">
        <v>44</v>
      </c>
      <c r="B36" s="19" t="s">
        <v>41</v>
      </c>
      <c r="C36" s="19" t="s">
        <v>45</v>
      </c>
      <c r="D36" s="15"/>
      <c r="E36" s="59">
        <f>E37+E42+E39</f>
        <v>8452</v>
      </c>
      <c r="F36" s="59">
        <f t="shared" ref="F36:G36" si="1">F37+F42+F39</f>
        <v>7315.2</v>
      </c>
      <c r="G36" s="59">
        <f t="shared" si="1"/>
        <v>7387.5</v>
      </c>
    </row>
    <row r="37" spans="1:7" ht="60" x14ac:dyDescent="0.25">
      <c r="A37" s="66" t="s">
        <v>536</v>
      </c>
      <c r="B37" s="15" t="s">
        <v>41</v>
      </c>
      <c r="C37" s="109" t="s">
        <v>50</v>
      </c>
      <c r="D37" s="65"/>
      <c r="E37" s="123">
        <f>E38</f>
        <v>3023.1</v>
      </c>
      <c r="F37" s="123">
        <f t="shared" ref="F37:G37" si="2">F38</f>
        <v>2233.1</v>
      </c>
      <c r="G37" s="123">
        <f t="shared" si="2"/>
        <v>2233.1</v>
      </c>
    </row>
    <row r="38" spans="1:7" ht="60" x14ac:dyDescent="0.25">
      <c r="A38" s="66" t="s">
        <v>14</v>
      </c>
      <c r="B38" s="15" t="s">
        <v>41</v>
      </c>
      <c r="C38" s="109" t="s">
        <v>50</v>
      </c>
      <c r="D38" s="65">
        <v>100</v>
      </c>
      <c r="E38" s="123">
        <v>3023.1</v>
      </c>
      <c r="F38" s="123">
        <v>2233.1</v>
      </c>
      <c r="G38" s="123">
        <v>2233.1</v>
      </c>
    </row>
    <row r="39" spans="1:7" ht="90" x14ac:dyDescent="0.25">
      <c r="A39" s="66" t="s">
        <v>568</v>
      </c>
      <c r="B39" s="15" t="s">
        <v>41</v>
      </c>
      <c r="C39" s="16" t="s">
        <v>46</v>
      </c>
      <c r="D39" s="16"/>
      <c r="E39" s="123">
        <f>E40+E41</f>
        <v>3513.8</v>
      </c>
      <c r="F39" s="123">
        <f t="shared" ref="F39:G39" si="3">F40+F41</f>
        <v>3109.8</v>
      </c>
      <c r="G39" s="123">
        <f t="shared" si="3"/>
        <v>3109.8</v>
      </c>
    </row>
    <row r="40" spans="1:7" ht="60" x14ac:dyDescent="0.25">
      <c r="A40" s="66" t="s">
        <v>14</v>
      </c>
      <c r="B40" s="15" t="s">
        <v>41</v>
      </c>
      <c r="C40" s="16" t="s">
        <v>46</v>
      </c>
      <c r="D40" s="16" t="s">
        <v>47</v>
      </c>
      <c r="E40" s="123">
        <v>2707.4</v>
      </c>
      <c r="F40" s="123">
        <v>2707.4</v>
      </c>
      <c r="G40" s="123">
        <v>2707.4</v>
      </c>
    </row>
    <row r="41" spans="1:7" ht="30" x14ac:dyDescent="0.25">
      <c r="A41" s="66" t="s">
        <v>21</v>
      </c>
      <c r="B41" s="15" t="s">
        <v>41</v>
      </c>
      <c r="C41" s="16" t="s">
        <v>46</v>
      </c>
      <c r="D41" s="16" t="s">
        <v>48</v>
      </c>
      <c r="E41" s="123">
        <v>806.4</v>
      </c>
      <c r="F41" s="123">
        <v>402.4</v>
      </c>
      <c r="G41" s="123">
        <v>402.4</v>
      </c>
    </row>
    <row r="42" spans="1:7" ht="45" x14ac:dyDescent="0.25">
      <c r="A42" s="66" t="s">
        <v>537</v>
      </c>
      <c r="B42" s="15" t="s">
        <v>41</v>
      </c>
      <c r="C42" s="109" t="s">
        <v>49</v>
      </c>
      <c r="D42" s="65"/>
      <c r="E42" s="123">
        <f>E43</f>
        <v>1915.1</v>
      </c>
      <c r="F42" s="123">
        <f t="shared" ref="F42:G42" si="4">F43</f>
        <v>1972.3</v>
      </c>
      <c r="G42" s="123">
        <f t="shared" si="4"/>
        <v>2044.6</v>
      </c>
    </row>
    <row r="43" spans="1:7" ht="60" x14ac:dyDescent="0.25">
      <c r="A43" s="66" t="s">
        <v>14</v>
      </c>
      <c r="B43" s="15" t="s">
        <v>41</v>
      </c>
      <c r="C43" s="109" t="s">
        <v>49</v>
      </c>
      <c r="D43" s="65">
        <v>100</v>
      </c>
      <c r="E43" s="123">
        <v>1915.1</v>
      </c>
      <c r="F43" s="123">
        <v>1972.3</v>
      </c>
      <c r="G43" s="123">
        <v>2044.6</v>
      </c>
    </row>
    <row r="44" spans="1:7" s="13" customFormat="1" x14ac:dyDescent="0.25">
      <c r="A44" s="67" t="s">
        <v>406</v>
      </c>
      <c r="B44" s="68" t="s">
        <v>408</v>
      </c>
      <c r="C44" s="69"/>
      <c r="D44" s="70"/>
      <c r="E44" s="55">
        <f>E45</f>
        <v>36.700000000000003</v>
      </c>
      <c r="F44" s="55">
        <f t="shared" ref="F44:G46" si="5">F45</f>
        <v>39.5</v>
      </c>
      <c r="G44" s="55">
        <f t="shared" si="5"/>
        <v>493.1</v>
      </c>
    </row>
    <row r="45" spans="1:7" s="13" customFormat="1" x14ac:dyDescent="0.25">
      <c r="A45" s="1" t="s">
        <v>10</v>
      </c>
      <c r="B45" s="72" t="s">
        <v>408</v>
      </c>
      <c r="C45" s="16" t="s">
        <v>11</v>
      </c>
      <c r="D45" s="70"/>
      <c r="E45" s="20">
        <f>E46</f>
        <v>36.700000000000003</v>
      </c>
      <c r="F45" s="20">
        <f t="shared" si="5"/>
        <v>39.5</v>
      </c>
      <c r="G45" s="20">
        <f t="shared" si="5"/>
        <v>493.1</v>
      </c>
    </row>
    <row r="46" spans="1:7" x14ac:dyDescent="0.25">
      <c r="A46" s="71" t="s">
        <v>44</v>
      </c>
      <c r="B46" s="72" t="s">
        <v>408</v>
      </c>
      <c r="C46" s="72" t="s">
        <v>45</v>
      </c>
      <c r="D46" s="65"/>
      <c r="E46" s="20">
        <f>E47</f>
        <v>36.700000000000003</v>
      </c>
      <c r="F46" s="20">
        <f t="shared" si="5"/>
        <v>39.5</v>
      </c>
      <c r="G46" s="20">
        <f t="shared" si="5"/>
        <v>493.1</v>
      </c>
    </row>
    <row r="47" spans="1:7" ht="45" x14ac:dyDescent="0.25">
      <c r="A47" s="73" t="s">
        <v>538</v>
      </c>
      <c r="B47" s="72" t="s">
        <v>408</v>
      </c>
      <c r="C47" s="139" t="s">
        <v>522</v>
      </c>
      <c r="D47" s="65"/>
      <c r="E47" s="123">
        <f>E48</f>
        <v>36.700000000000003</v>
      </c>
      <c r="F47" s="123">
        <f t="shared" ref="F47:G47" si="6">F48</f>
        <v>39.5</v>
      </c>
      <c r="G47" s="123">
        <f t="shared" si="6"/>
        <v>493.1</v>
      </c>
    </row>
    <row r="48" spans="1:7" ht="30" x14ac:dyDescent="0.25">
      <c r="A48" s="73" t="s">
        <v>407</v>
      </c>
      <c r="B48" s="72" t="s">
        <v>408</v>
      </c>
      <c r="C48" s="139" t="s">
        <v>522</v>
      </c>
      <c r="D48" s="65">
        <v>600</v>
      </c>
      <c r="E48" s="123">
        <v>36.700000000000003</v>
      </c>
      <c r="F48" s="123">
        <v>39.5</v>
      </c>
      <c r="G48" s="20">
        <v>493.1</v>
      </c>
    </row>
    <row r="49" spans="1:7" s="13" customFormat="1" ht="36.75" customHeight="1" x14ac:dyDescent="0.25">
      <c r="A49" s="9" t="s">
        <v>207</v>
      </c>
      <c r="B49" s="10" t="s">
        <v>208</v>
      </c>
      <c r="C49" s="14"/>
      <c r="D49" s="11"/>
      <c r="E49" s="12">
        <f t="shared" ref="E49:G50" si="7">SUM(E50)</f>
        <v>61217.599999999999</v>
      </c>
      <c r="F49" s="12">
        <f t="shared" si="7"/>
        <v>53556.899999999994</v>
      </c>
      <c r="G49" s="12">
        <f t="shared" si="7"/>
        <v>55518.100000000006</v>
      </c>
    </row>
    <row r="50" spans="1:7" x14ac:dyDescent="0.25">
      <c r="A50" s="1" t="s">
        <v>10</v>
      </c>
      <c r="B50" s="15" t="s">
        <v>208</v>
      </c>
      <c r="C50" s="16" t="s">
        <v>11</v>
      </c>
      <c r="D50" s="17"/>
      <c r="E50" s="59">
        <f t="shared" si="7"/>
        <v>61217.599999999999</v>
      </c>
      <c r="F50" s="59">
        <f t="shared" si="7"/>
        <v>53556.899999999994</v>
      </c>
      <c r="G50" s="59">
        <f t="shared" si="7"/>
        <v>55518.100000000006</v>
      </c>
    </row>
    <row r="51" spans="1:7" ht="30" x14ac:dyDescent="0.25">
      <c r="A51" s="62" t="s">
        <v>42</v>
      </c>
      <c r="B51" s="15" t="s">
        <v>208</v>
      </c>
      <c r="C51" s="16" t="s">
        <v>43</v>
      </c>
      <c r="D51" s="17"/>
      <c r="E51" s="59">
        <f>SUM(E52:E55)</f>
        <v>61217.599999999999</v>
      </c>
      <c r="F51" s="59">
        <f>SUM(F52:F55)</f>
        <v>53556.899999999994</v>
      </c>
      <c r="G51" s="59">
        <f>SUM(G52:G55)</f>
        <v>55518.100000000006</v>
      </c>
    </row>
    <row r="52" spans="1:7" ht="60" x14ac:dyDescent="0.25">
      <c r="A52" s="1" t="s">
        <v>14</v>
      </c>
      <c r="B52" s="15" t="s">
        <v>208</v>
      </c>
      <c r="C52" s="16" t="s">
        <v>43</v>
      </c>
      <c r="D52" s="17">
        <v>100</v>
      </c>
      <c r="E52" s="123">
        <f>32264.4+15384+6168.2-501+2809.6+45</f>
        <v>56170.2</v>
      </c>
      <c r="F52" s="123">
        <f>33573.5+15456.1</f>
        <v>49029.599999999999</v>
      </c>
      <c r="G52" s="123">
        <f>34916.4+16074.4</f>
        <v>50990.8</v>
      </c>
    </row>
    <row r="53" spans="1:7" s="13" customFormat="1" ht="30" x14ac:dyDescent="0.25">
      <c r="A53" s="1" t="s">
        <v>21</v>
      </c>
      <c r="B53" s="15" t="s">
        <v>208</v>
      </c>
      <c r="C53" s="16" t="s">
        <v>43</v>
      </c>
      <c r="D53" s="17">
        <v>200</v>
      </c>
      <c r="E53" s="123">
        <f>2182.2+2316.2-45</f>
        <v>4453.3999999999996</v>
      </c>
      <c r="F53" s="123">
        <f>2118.1+2316.2</f>
        <v>4434.2999999999993</v>
      </c>
      <c r="G53" s="123">
        <f>2118.1+2316.2</f>
        <v>4434.2999999999993</v>
      </c>
    </row>
    <row r="54" spans="1:7" s="13" customFormat="1" x14ac:dyDescent="0.25">
      <c r="A54" s="66" t="s">
        <v>29</v>
      </c>
      <c r="B54" s="15" t="s">
        <v>208</v>
      </c>
      <c r="C54" s="16" t="s">
        <v>43</v>
      </c>
      <c r="D54" s="17">
        <v>300</v>
      </c>
      <c r="E54" s="123">
        <v>501</v>
      </c>
      <c r="F54" s="123"/>
      <c r="G54" s="123"/>
    </row>
    <row r="55" spans="1:7" x14ac:dyDescent="0.25">
      <c r="A55" s="61" t="s">
        <v>22</v>
      </c>
      <c r="B55" s="15" t="s">
        <v>208</v>
      </c>
      <c r="C55" s="16" t="s">
        <v>43</v>
      </c>
      <c r="D55" s="17">
        <v>800</v>
      </c>
      <c r="E55" s="123">
        <f>52+41</f>
        <v>93</v>
      </c>
      <c r="F55" s="123">
        <f>52+41</f>
        <v>93</v>
      </c>
      <c r="G55" s="123">
        <f>52+41</f>
        <v>93</v>
      </c>
    </row>
    <row r="56" spans="1:7" s="13" customFormat="1" hidden="1" x14ac:dyDescent="0.25">
      <c r="A56" s="9" t="s">
        <v>389</v>
      </c>
      <c r="B56" s="74" t="s">
        <v>391</v>
      </c>
      <c r="C56" s="14"/>
      <c r="D56" s="11"/>
      <c r="E56" s="12">
        <f>E57</f>
        <v>0</v>
      </c>
      <c r="F56" s="12">
        <v>0</v>
      </c>
      <c r="G56" s="12">
        <v>0</v>
      </c>
    </row>
    <row r="57" spans="1:7" hidden="1" x14ac:dyDescent="0.25">
      <c r="A57" s="1" t="s">
        <v>10</v>
      </c>
      <c r="B57" s="75" t="s">
        <v>391</v>
      </c>
      <c r="C57" s="16" t="s">
        <v>11</v>
      </c>
      <c r="D57" s="17"/>
      <c r="E57" s="59">
        <f>E58</f>
        <v>0</v>
      </c>
      <c r="F57" s="59">
        <v>0</v>
      </c>
      <c r="G57" s="59">
        <v>0</v>
      </c>
    </row>
    <row r="58" spans="1:7" hidden="1" x14ac:dyDescent="0.25">
      <c r="A58" s="1" t="s">
        <v>390</v>
      </c>
      <c r="B58" s="75" t="s">
        <v>391</v>
      </c>
      <c r="C58" s="16" t="s">
        <v>392</v>
      </c>
      <c r="D58" s="17"/>
      <c r="E58" s="59">
        <f>E59</f>
        <v>0</v>
      </c>
      <c r="F58" s="59">
        <v>0</v>
      </c>
      <c r="G58" s="59">
        <v>0</v>
      </c>
    </row>
    <row r="59" spans="1:7" ht="30" hidden="1" x14ac:dyDescent="0.25">
      <c r="A59" s="1" t="s">
        <v>21</v>
      </c>
      <c r="B59" s="75" t="s">
        <v>391</v>
      </c>
      <c r="C59" s="16" t="s">
        <v>392</v>
      </c>
      <c r="D59" s="17">
        <v>200</v>
      </c>
      <c r="E59" s="20">
        <v>0</v>
      </c>
      <c r="F59" s="59">
        <v>0</v>
      </c>
      <c r="G59" s="59">
        <v>0</v>
      </c>
    </row>
    <row r="60" spans="1:7" x14ac:dyDescent="0.25">
      <c r="A60" s="9" t="s">
        <v>209</v>
      </c>
      <c r="B60" s="10" t="s">
        <v>210</v>
      </c>
      <c r="C60" s="14"/>
      <c r="D60" s="11"/>
      <c r="E60" s="12">
        <f>E61</f>
        <v>30000</v>
      </c>
      <c r="F60" s="12">
        <f t="shared" ref="F60:G62" si="8">F61</f>
        <v>10000</v>
      </c>
      <c r="G60" s="12">
        <f t="shared" si="8"/>
        <v>10000</v>
      </c>
    </row>
    <row r="61" spans="1:7" x14ac:dyDescent="0.25">
      <c r="A61" s="1" t="s">
        <v>10</v>
      </c>
      <c r="B61" s="15" t="s">
        <v>210</v>
      </c>
      <c r="C61" s="16" t="s">
        <v>11</v>
      </c>
      <c r="D61" s="17"/>
      <c r="E61" s="59">
        <f>E62</f>
        <v>30000</v>
      </c>
      <c r="F61" s="59">
        <f t="shared" si="8"/>
        <v>10000</v>
      </c>
      <c r="G61" s="59">
        <f t="shared" si="8"/>
        <v>10000</v>
      </c>
    </row>
    <row r="62" spans="1:7" x14ac:dyDescent="0.25">
      <c r="A62" s="1" t="s">
        <v>211</v>
      </c>
      <c r="B62" s="15" t="s">
        <v>210</v>
      </c>
      <c r="C62" s="16" t="s">
        <v>212</v>
      </c>
      <c r="D62" s="17"/>
      <c r="E62" s="59">
        <f>E63</f>
        <v>30000</v>
      </c>
      <c r="F62" s="59">
        <f t="shared" si="8"/>
        <v>10000</v>
      </c>
      <c r="G62" s="59">
        <f t="shared" si="8"/>
        <v>10000</v>
      </c>
    </row>
    <row r="63" spans="1:7" x14ac:dyDescent="0.25">
      <c r="A63" s="61" t="s">
        <v>22</v>
      </c>
      <c r="B63" s="15" t="s">
        <v>210</v>
      </c>
      <c r="C63" s="16" t="s">
        <v>212</v>
      </c>
      <c r="D63" s="17">
        <v>800</v>
      </c>
      <c r="E63" s="123">
        <v>30000</v>
      </c>
      <c r="F63" s="123">
        <f>50000-40000</f>
        <v>10000</v>
      </c>
      <c r="G63" s="123">
        <f>50000-40000</f>
        <v>10000</v>
      </c>
    </row>
    <row r="64" spans="1:7" x14ac:dyDescent="0.25">
      <c r="A64" s="9" t="s">
        <v>25</v>
      </c>
      <c r="B64" s="10" t="s">
        <v>26</v>
      </c>
      <c r="C64" s="14"/>
      <c r="D64" s="11"/>
      <c r="E64" s="12">
        <f>E65+E78+E84</f>
        <v>241065.49999999994</v>
      </c>
      <c r="F64" s="12">
        <f>F65+F78+F84</f>
        <v>186679.39999999997</v>
      </c>
      <c r="G64" s="12">
        <f>G65+G78+G84</f>
        <v>189413.09999999995</v>
      </c>
    </row>
    <row r="65" spans="1:7" x14ac:dyDescent="0.25">
      <c r="A65" s="1" t="s">
        <v>10</v>
      </c>
      <c r="B65" s="15" t="s">
        <v>26</v>
      </c>
      <c r="C65" s="16" t="s">
        <v>11</v>
      </c>
      <c r="D65" s="17"/>
      <c r="E65" s="59">
        <f>E66+E70+E74+E76</f>
        <v>213775.49999999994</v>
      </c>
      <c r="F65" s="59">
        <f>F66+F70+F74+F76</f>
        <v>162717.99999999997</v>
      </c>
      <c r="G65" s="59">
        <f>G66+G70+G74+G76</f>
        <v>164945.49999999997</v>
      </c>
    </row>
    <row r="66" spans="1:7" ht="30" x14ac:dyDescent="0.25">
      <c r="A66" s="73" t="s">
        <v>42</v>
      </c>
      <c r="B66" s="15" t="s">
        <v>26</v>
      </c>
      <c r="C66" s="16" t="s">
        <v>43</v>
      </c>
      <c r="D66" s="17"/>
      <c r="E66" s="59">
        <f>SUM(E67:E69)</f>
        <v>47606.2</v>
      </c>
      <c r="F66" s="59">
        <f>SUM(F67:F69)</f>
        <v>37633.599999999999</v>
      </c>
      <c r="G66" s="59">
        <f>SUM(G67:G69)</f>
        <v>39025.299999999996</v>
      </c>
    </row>
    <row r="67" spans="1:7" ht="60" x14ac:dyDescent="0.25">
      <c r="A67" s="1" t="s">
        <v>14</v>
      </c>
      <c r="B67" s="15" t="s">
        <v>26</v>
      </c>
      <c r="C67" s="16" t="s">
        <v>43</v>
      </c>
      <c r="D67" s="17">
        <v>100</v>
      </c>
      <c r="E67" s="123">
        <f>33436+6393.2</f>
        <v>39829.199999999997</v>
      </c>
      <c r="F67" s="123">
        <v>34792.800000000003</v>
      </c>
      <c r="G67" s="123">
        <v>36184.5</v>
      </c>
    </row>
    <row r="68" spans="1:7" ht="30" x14ac:dyDescent="0.25">
      <c r="A68" s="1" t="s">
        <v>21</v>
      </c>
      <c r="B68" s="15" t="s">
        <v>26</v>
      </c>
      <c r="C68" s="16" t="s">
        <v>43</v>
      </c>
      <c r="D68" s="17">
        <v>200</v>
      </c>
      <c r="E68" s="123">
        <v>5277</v>
      </c>
      <c r="F68" s="123">
        <v>2610.6999999999998</v>
      </c>
      <c r="G68" s="123">
        <v>2610.6999999999998</v>
      </c>
    </row>
    <row r="69" spans="1:7" x14ac:dyDescent="0.25">
      <c r="A69" s="61" t="s">
        <v>22</v>
      </c>
      <c r="B69" s="15" t="s">
        <v>26</v>
      </c>
      <c r="C69" s="16" t="s">
        <v>43</v>
      </c>
      <c r="D69" s="17">
        <v>800</v>
      </c>
      <c r="E69" s="123">
        <f>230.1+1321.2+948.7</f>
        <v>2500</v>
      </c>
      <c r="F69" s="123">
        <v>230.1</v>
      </c>
      <c r="G69" s="123">
        <v>230.1</v>
      </c>
    </row>
    <row r="70" spans="1:7" ht="30" x14ac:dyDescent="0.25">
      <c r="A70" s="61" t="s">
        <v>51</v>
      </c>
      <c r="B70" s="15" t="s">
        <v>26</v>
      </c>
      <c r="C70" s="16" t="s">
        <v>52</v>
      </c>
      <c r="D70" s="17"/>
      <c r="E70" s="59">
        <f>SUM(E71:E73)</f>
        <v>150085.99999999997</v>
      </c>
      <c r="F70" s="59">
        <f>SUM(F71:F73)</f>
        <v>120390.99999999999</v>
      </c>
      <c r="G70" s="59">
        <f>SUM(G71:G73)</f>
        <v>123404.19999999998</v>
      </c>
    </row>
    <row r="71" spans="1:7" ht="60" x14ac:dyDescent="0.25">
      <c r="A71" s="1" t="s">
        <v>14</v>
      </c>
      <c r="B71" s="15" t="s">
        <v>26</v>
      </c>
      <c r="C71" s="16" t="s">
        <v>52</v>
      </c>
      <c r="D71" s="17">
        <v>100</v>
      </c>
      <c r="E71" s="123">
        <f>66633+10308.9</f>
        <v>76941.899999999994</v>
      </c>
      <c r="F71" s="123">
        <v>67957.899999999994</v>
      </c>
      <c r="G71" s="123">
        <v>70543.899999999994</v>
      </c>
    </row>
    <row r="72" spans="1:7" ht="30" x14ac:dyDescent="0.25">
      <c r="A72" s="1" t="s">
        <v>21</v>
      </c>
      <c r="B72" s="15" t="s">
        <v>26</v>
      </c>
      <c r="C72" s="16" t="s">
        <v>52</v>
      </c>
      <c r="D72" s="17">
        <v>200</v>
      </c>
      <c r="E72" s="123">
        <f>65688.1+188.2+3923.9</f>
        <v>69800.2</v>
      </c>
      <c r="F72" s="123">
        <v>49089.2</v>
      </c>
      <c r="G72" s="123">
        <v>49516.4</v>
      </c>
    </row>
    <row r="73" spans="1:7" x14ac:dyDescent="0.25">
      <c r="A73" s="61" t="s">
        <v>22</v>
      </c>
      <c r="B73" s="15" t="s">
        <v>26</v>
      </c>
      <c r="C73" s="16" t="s">
        <v>52</v>
      </c>
      <c r="D73" s="17">
        <v>800</v>
      </c>
      <c r="E73" s="123">
        <v>3343.9</v>
      </c>
      <c r="F73" s="123">
        <v>3343.9</v>
      </c>
      <c r="G73" s="123">
        <v>3343.9</v>
      </c>
    </row>
    <row r="74" spans="1:7" x14ac:dyDescent="0.25">
      <c r="A74" s="1" t="s">
        <v>53</v>
      </c>
      <c r="B74" s="15" t="s">
        <v>26</v>
      </c>
      <c r="C74" s="16" t="s">
        <v>54</v>
      </c>
      <c r="D74" s="17"/>
      <c r="E74" s="59">
        <f>E75</f>
        <v>15508.399999999998</v>
      </c>
      <c r="F74" s="59">
        <f t="shared" ref="F74:G74" si="9">F75</f>
        <v>4118.5000000000036</v>
      </c>
      <c r="G74" s="59">
        <f t="shared" si="9"/>
        <v>1941.1000000000022</v>
      </c>
    </row>
    <row r="75" spans="1:7" x14ac:dyDescent="0.25">
      <c r="A75" s="61" t="s">
        <v>22</v>
      </c>
      <c r="B75" s="15" t="s">
        <v>26</v>
      </c>
      <c r="C75" s="16" t="s">
        <v>54</v>
      </c>
      <c r="D75" s="17">
        <v>800</v>
      </c>
      <c r="E75" s="123">
        <f>12675+262.9+1595.3-2212.5+3187.7</f>
        <v>15508.399999999998</v>
      </c>
      <c r="F75" s="123">
        <f>20088.4+262.9-71.6+3170.8-19332</f>
        <v>4118.5000000000036</v>
      </c>
      <c r="G75" s="123">
        <f>16920.1-0.3+262.9-143.2+4128.9-19227.3</f>
        <v>1941.1000000000022</v>
      </c>
    </row>
    <row r="76" spans="1:7" ht="30" x14ac:dyDescent="0.25">
      <c r="A76" s="1" t="s">
        <v>27</v>
      </c>
      <c r="B76" s="15" t="s">
        <v>26</v>
      </c>
      <c r="C76" s="16" t="s">
        <v>28</v>
      </c>
      <c r="D76" s="17"/>
      <c r="E76" s="59">
        <f>E77</f>
        <v>574.9</v>
      </c>
      <c r="F76" s="59">
        <f>F77</f>
        <v>574.9</v>
      </c>
      <c r="G76" s="59">
        <f>G77</f>
        <v>574.9</v>
      </c>
    </row>
    <row r="77" spans="1:7" x14ac:dyDescent="0.25">
      <c r="A77" s="1" t="s">
        <v>29</v>
      </c>
      <c r="B77" s="15" t="s">
        <v>26</v>
      </c>
      <c r="C77" s="16" t="s">
        <v>28</v>
      </c>
      <c r="D77" s="17">
        <v>300</v>
      </c>
      <c r="E77" s="123">
        <f>287.5+287.4</f>
        <v>574.9</v>
      </c>
      <c r="F77" s="123">
        <f t="shared" ref="F77:G77" si="10">287.5+287.4</f>
        <v>574.9</v>
      </c>
      <c r="G77" s="123">
        <f t="shared" si="10"/>
        <v>574.9</v>
      </c>
    </row>
    <row r="78" spans="1:7" ht="30" x14ac:dyDescent="0.25">
      <c r="A78" s="76" t="s">
        <v>455</v>
      </c>
      <c r="B78" s="21" t="s">
        <v>26</v>
      </c>
      <c r="C78" s="21" t="s">
        <v>220</v>
      </c>
      <c r="D78" s="22"/>
      <c r="E78" s="59">
        <f>SUM(E79)</f>
        <v>27011.500000000004</v>
      </c>
      <c r="F78" s="59">
        <f t="shared" ref="F78:G80" si="11">SUM(F79)</f>
        <v>23682.899999999998</v>
      </c>
      <c r="G78" s="59">
        <f t="shared" si="11"/>
        <v>24297.3</v>
      </c>
    </row>
    <row r="79" spans="1:7" ht="45" x14ac:dyDescent="0.25">
      <c r="A79" s="76" t="s">
        <v>456</v>
      </c>
      <c r="B79" s="21" t="s">
        <v>26</v>
      </c>
      <c r="C79" s="21" t="s">
        <v>360</v>
      </c>
      <c r="D79" s="22"/>
      <c r="E79" s="59">
        <f>SUM(E80)</f>
        <v>27011.500000000004</v>
      </c>
      <c r="F79" s="59">
        <f t="shared" si="11"/>
        <v>23682.899999999998</v>
      </c>
      <c r="G79" s="59">
        <f t="shared" si="11"/>
        <v>24297.3</v>
      </c>
    </row>
    <row r="80" spans="1:7" ht="45" x14ac:dyDescent="0.25">
      <c r="A80" s="76" t="s">
        <v>361</v>
      </c>
      <c r="B80" s="21" t="s">
        <v>26</v>
      </c>
      <c r="C80" s="21" t="s">
        <v>362</v>
      </c>
      <c r="D80" s="22"/>
      <c r="E80" s="59">
        <f>SUM(E81)</f>
        <v>27011.500000000004</v>
      </c>
      <c r="F80" s="59">
        <f t="shared" si="11"/>
        <v>23682.899999999998</v>
      </c>
      <c r="G80" s="59">
        <f t="shared" si="11"/>
        <v>24297.3</v>
      </c>
    </row>
    <row r="81" spans="1:7" ht="30" x14ac:dyDescent="0.25">
      <c r="A81" s="23" t="s">
        <v>55</v>
      </c>
      <c r="B81" s="21" t="s">
        <v>26</v>
      </c>
      <c r="C81" s="21" t="s">
        <v>350</v>
      </c>
      <c r="D81" s="22"/>
      <c r="E81" s="59">
        <f>SUM(E82:E83)</f>
        <v>27011.500000000004</v>
      </c>
      <c r="F81" s="59">
        <f>SUM(F82:F83)</f>
        <v>23682.899999999998</v>
      </c>
      <c r="G81" s="59">
        <f>SUM(G82:G83)</f>
        <v>24297.3</v>
      </c>
    </row>
    <row r="82" spans="1:7" ht="60" x14ac:dyDescent="0.25">
      <c r="A82" s="23" t="s">
        <v>351</v>
      </c>
      <c r="B82" s="21" t="s">
        <v>26</v>
      </c>
      <c r="C82" s="21" t="s">
        <v>350</v>
      </c>
      <c r="D82" s="22">
        <v>100</v>
      </c>
      <c r="E82" s="123">
        <f>21926.4+4174.7</f>
        <v>26101.100000000002</v>
      </c>
      <c r="F82" s="123">
        <v>22815.8</v>
      </c>
      <c r="G82" s="123">
        <v>23728.5</v>
      </c>
    </row>
    <row r="83" spans="1:7" ht="30" x14ac:dyDescent="0.25">
      <c r="A83" s="23" t="s">
        <v>386</v>
      </c>
      <c r="B83" s="21" t="s">
        <v>26</v>
      </c>
      <c r="C83" s="21" t="s">
        <v>350</v>
      </c>
      <c r="D83" s="22">
        <v>200</v>
      </c>
      <c r="E83" s="123">
        <v>910.4</v>
      </c>
      <c r="F83" s="123">
        <v>867.1</v>
      </c>
      <c r="G83" s="123">
        <v>568.79999999999995</v>
      </c>
    </row>
    <row r="84" spans="1:7" ht="44.25" customHeight="1" x14ac:dyDescent="0.25">
      <c r="A84" s="76" t="s">
        <v>457</v>
      </c>
      <c r="B84" s="78" t="s">
        <v>26</v>
      </c>
      <c r="C84" s="78" t="s">
        <v>94</v>
      </c>
      <c r="D84" s="22"/>
      <c r="E84" s="59">
        <f>SUM(E85)</f>
        <v>278.5</v>
      </c>
      <c r="F84" s="59">
        <f t="shared" ref="F84:G87" si="12">SUM(F85)</f>
        <v>278.5</v>
      </c>
      <c r="G84" s="59">
        <f t="shared" si="12"/>
        <v>170.3</v>
      </c>
    </row>
    <row r="85" spans="1:7" ht="30" x14ac:dyDescent="0.25">
      <c r="A85" s="117" t="s">
        <v>352</v>
      </c>
      <c r="B85" s="78" t="s">
        <v>26</v>
      </c>
      <c r="C85" s="78" t="s">
        <v>353</v>
      </c>
      <c r="D85" s="22"/>
      <c r="E85" s="59">
        <f>SUM(E86)</f>
        <v>278.5</v>
      </c>
      <c r="F85" s="59">
        <f t="shared" si="12"/>
        <v>278.5</v>
      </c>
      <c r="G85" s="59">
        <f t="shared" si="12"/>
        <v>170.3</v>
      </c>
    </row>
    <row r="86" spans="1:7" ht="30" x14ac:dyDescent="0.25">
      <c r="A86" s="117" t="s">
        <v>354</v>
      </c>
      <c r="B86" s="78" t="s">
        <v>26</v>
      </c>
      <c r="C86" s="78" t="s">
        <v>355</v>
      </c>
      <c r="D86" s="22"/>
      <c r="E86" s="59">
        <f>SUM(E87)</f>
        <v>278.5</v>
      </c>
      <c r="F86" s="59">
        <f t="shared" si="12"/>
        <v>278.5</v>
      </c>
      <c r="G86" s="59">
        <f t="shared" si="12"/>
        <v>170.3</v>
      </c>
    </row>
    <row r="87" spans="1:7" ht="30" x14ac:dyDescent="0.25">
      <c r="A87" s="117" t="s">
        <v>356</v>
      </c>
      <c r="B87" s="78" t="s">
        <v>26</v>
      </c>
      <c r="C87" s="78" t="s">
        <v>357</v>
      </c>
      <c r="D87" s="22"/>
      <c r="E87" s="59">
        <f>SUM(E88)</f>
        <v>278.5</v>
      </c>
      <c r="F87" s="59">
        <f t="shared" si="12"/>
        <v>278.5</v>
      </c>
      <c r="G87" s="59">
        <f t="shared" si="12"/>
        <v>170.3</v>
      </c>
    </row>
    <row r="88" spans="1:7" ht="30" x14ac:dyDescent="0.25">
      <c r="A88" s="79" t="s">
        <v>21</v>
      </c>
      <c r="B88" s="78" t="s">
        <v>26</v>
      </c>
      <c r="C88" s="78" t="s">
        <v>357</v>
      </c>
      <c r="D88" s="22">
        <v>200</v>
      </c>
      <c r="E88" s="123">
        <v>278.5</v>
      </c>
      <c r="F88" s="123">
        <v>278.5</v>
      </c>
      <c r="G88" s="123">
        <v>170.3</v>
      </c>
    </row>
    <row r="89" spans="1:7" x14ac:dyDescent="0.25">
      <c r="A89" s="9" t="s">
        <v>57</v>
      </c>
      <c r="B89" s="10" t="s">
        <v>58</v>
      </c>
      <c r="C89" s="14"/>
      <c r="D89" s="11"/>
      <c r="E89" s="12">
        <f t="shared" ref="E89:G90" si="13">E90</f>
        <v>1870</v>
      </c>
      <c r="F89" s="12">
        <f t="shared" si="13"/>
        <v>927.4</v>
      </c>
      <c r="G89" s="12">
        <f t="shared" si="13"/>
        <v>254.2</v>
      </c>
    </row>
    <row r="90" spans="1:7" x14ac:dyDescent="0.25">
      <c r="A90" s="9" t="s">
        <v>59</v>
      </c>
      <c r="B90" s="10" t="s">
        <v>60</v>
      </c>
      <c r="C90" s="14"/>
      <c r="D90" s="11"/>
      <c r="E90" s="12">
        <f>E91</f>
        <v>1870</v>
      </c>
      <c r="F90" s="12">
        <f t="shared" si="13"/>
        <v>927.4</v>
      </c>
      <c r="G90" s="12">
        <f t="shared" si="13"/>
        <v>254.2</v>
      </c>
    </row>
    <row r="91" spans="1:7" s="13" customFormat="1" x14ac:dyDescent="0.25">
      <c r="A91" s="1" t="s">
        <v>10</v>
      </c>
      <c r="B91" s="15" t="s">
        <v>60</v>
      </c>
      <c r="C91" s="16" t="s">
        <v>11</v>
      </c>
      <c r="D91" s="17"/>
      <c r="E91" s="59">
        <f>SUM(E92+E94)</f>
        <v>1870</v>
      </c>
      <c r="F91" s="59">
        <f>SUM(F92+F94)</f>
        <v>927.4</v>
      </c>
      <c r="G91" s="59">
        <f>SUM(G92+G94)</f>
        <v>254.2</v>
      </c>
    </row>
    <row r="92" spans="1:7" x14ac:dyDescent="0.25">
      <c r="A92" s="1" t="s">
        <v>61</v>
      </c>
      <c r="B92" s="15" t="s">
        <v>60</v>
      </c>
      <c r="C92" s="16" t="s">
        <v>62</v>
      </c>
      <c r="D92" s="17"/>
      <c r="E92" s="59">
        <f>E93</f>
        <v>1435</v>
      </c>
      <c r="F92" s="59">
        <f>F93</f>
        <v>0</v>
      </c>
      <c r="G92" s="59">
        <f>G93</f>
        <v>0</v>
      </c>
    </row>
    <row r="93" spans="1:7" ht="30" x14ac:dyDescent="0.25">
      <c r="A93" s="1" t="s">
        <v>21</v>
      </c>
      <c r="B93" s="15" t="s">
        <v>60</v>
      </c>
      <c r="C93" s="16" t="s">
        <v>62</v>
      </c>
      <c r="D93" s="17">
        <v>200</v>
      </c>
      <c r="E93" s="123">
        <v>1435</v>
      </c>
      <c r="F93" s="60">
        <v>0</v>
      </c>
      <c r="G93" s="20">
        <v>0</v>
      </c>
    </row>
    <row r="94" spans="1:7" x14ac:dyDescent="0.25">
      <c r="A94" s="1" t="s">
        <v>63</v>
      </c>
      <c r="B94" s="15" t="s">
        <v>60</v>
      </c>
      <c r="C94" s="16" t="s">
        <v>64</v>
      </c>
      <c r="D94" s="17"/>
      <c r="E94" s="59">
        <f>E95+E96</f>
        <v>435</v>
      </c>
      <c r="F94" s="59">
        <f t="shared" ref="F94:G94" si="14">F95+F96</f>
        <v>927.4</v>
      </c>
      <c r="G94" s="59">
        <f t="shared" si="14"/>
        <v>254.2</v>
      </c>
    </row>
    <row r="95" spans="1:7" ht="30" x14ac:dyDescent="0.25">
      <c r="A95" s="1" t="s">
        <v>21</v>
      </c>
      <c r="B95" s="15" t="s">
        <v>60</v>
      </c>
      <c r="C95" s="16" t="s">
        <v>64</v>
      </c>
      <c r="D95" s="17">
        <v>200</v>
      </c>
      <c r="E95" s="123">
        <v>425</v>
      </c>
      <c r="F95" s="123">
        <v>917.4</v>
      </c>
      <c r="G95" s="123">
        <v>244.2</v>
      </c>
    </row>
    <row r="96" spans="1:7" x14ac:dyDescent="0.25">
      <c r="A96" s="1" t="s">
        <v>29</v>
      </c>
      <c r="B96" s="15" t="s">
        <v>60</v>
      </c>
      <c r="C96" s="16" t="s">
        <v>64</v>
      </c>
      <c r="D96" s="17">
        <v>300</v>
      </c>
      <c r="E96" s="123">
        <v>10</v>
      </c>
      <c r="F96" s="123">
        <v>10</v>
      </c>
      <c r="G96" s="123">
        <v>10</v>
      </c>
    </row>
    <row r="97" spans="1:7" ht="29.25" x14ac:dyDescent="0.25">
      <c r="A97" s="9" t="s">
        <v>241</v>
      </c>
      <c r="B97" s="10" t="s">
        <v>242</v>
      </c>
      <c r="C97" s="14"/>
      <c r="D97" s="11"/>
      <c r="E97" s="12">
        <f t="shared" ref="E97:G97" si="15">SUM(E98)</f>
        <v>117851.2</v>
      </c>
      <c r="F97" s="12">
        <f t="shared" si="15"/>
        <v>92896.9</v>
      </c>
      <c r="G97" s="12">
        <f t="shared" si="15"/>
        <v>95191.900000000009</v>
      </c>
    </row>
    <row r="98" spans="1:7" ht="29.25" x14ac:dyDescent="0.25">
      <c r="A98" s="80" t="s">
        <v>243</v>
      </c>
      <c r="B98" s="10" t="s">
        <v>244</v>
      </c>
      <c r="C98" s="14"/>
      <c r="D98" s="11"/>
      <c r="E98" s="12">
        <f>SUM(E99)</f>
        <v>117851.2</v>
      </c>
      <c r="F98" s="12">
        <f t="shared" ref="F98:G98" si="16">SUM(F99)</f>
        <v>92896.9</v>
      </c>
      <c r="G98" s="12">
        <f t="shared" si="16"/>
        <v>95191.900000000009</v>
      </c>
    </row>
    <row r="99" spans="1:7" ht="30" x14ac:dyDescent="0.25">
      <c r="A99" s="73" t="s">
        <v>438</v>
      </c>
      <c r="B99" s="15" t="s">
        <v>244</v>
      </c>
      <c r="C99" s="16" t="s">
        <v>69</v>
      </c>
      <c r="D99" s="17"/>
      <c r="E99" s="59">
        <f>SUM(E100+E108+E116+E121)</f>
        <v>117851.2</v>
      </c>
      <c r="F99" s="59">
        <f>SUM(F100+F108+F116+F121)</f>
        <v>92896.9</v>
      </c>
      <c r="G99" s="59">
        <f>SUM(G100+G108+G116+G121)</f>
        <v>95191.900000000009</v>
      </c>
    </row>
    <row r="100" spans="1:7" ht="30" x14ac:dyDescent="0.25">
      <c r="A100" s="62" t="s">
        <v>245</v>
      </c>
      <c r="B100" s="15" t="s">
        <v>244</v>
      </c>
      <c r="C100" s="16" t="s">
        <v>246</v>
      </c>
      <c r="D100" s="17"/>
      <c r="E100" s="59">
        <f>SUM(E101)</f>
        <v>45512.3</v>
      </c>
      <c r="F100" s="59">
        <f>SUM(F101)</f>
        <v>31091.5</v>
      </c>
      <c r="G100" s="59">
        <f>SUM(G101)</f>
        <v>31091.5</v>
      </c>
    </row>
    <row r="101" spans="1:7" ht="30" x14ac:dyDescent="0.25">
      <c r="A101" s="73" t="s">
        <v>247</v>
      </c>
      <c r="B101" s="15" t="s">
        <v>244</v>
      </c>
      <c r="C101" s="16" t="s">
        <v>248</v>
      </c>
      <c r="D101" s="17"/>
      <c r="E101" s="59">
        <f>SUM(E104+E102)+E106</f>
        <v>45512.3</v>
      </c>
      <c r="F101" s="59">
        <f t="shared" ref="F101:G101" si="17">SUM(F104+F102)+F106</f>
        <v>31091.5</v>
      </c>
      <c r="G101" s="59">
        <f t="shared" si="17"/>
        <v>31091.5</v>
      </c>
    </row>
    <row r="102" spans="1:7" ht="45" x14ac:dyDescent="0.25">
      <c r="A102" s="124" t="s">
        <v>439</v>
      </c>
      <c r="B102" s="15" t="s">
        <v>244</v>
      </c>
      <c r="C102" s="16" t="s">
        <v>523</v>
      </c>
      <c r="D102" s="17"/>
      <c r="E102" s="123">
        <f>SUM(E103)</f>
        <v>9482.9</v>
      </c>
      <c r="F102" s="123">
        <f t="shared" ref="F102:G102" si="18">SUM(F103)</f>
        <v>0</v>
      </c>
      <c r="G102" s="123">
        <f t="shared" si="18"/>
        <v>0</v>
      </c>
    </row>
    <row r="103" spans="1:7" ht="30" x14ac:dyDescent="0.25">
      <c r="A103" s="66" t="s">
        <v>21</v>
      </c>
      <c r="B103" s="15" t="s">
        <v>244</v>
      </c>
      <c r="C103" s="16" t="s">
        <v>523</v>
      </c>
      <c r="D103" s="17">
        <v>200</v>
      </c>
      <c r="E103" s="123">
        <f>9500-17.1</f>
        <v>9482.9</v>
      </c>
      <c r="F103" s="59">
        <v>0</v>
      </c>
      <c r="G103" s="59">
        <v>0</v>
      </c>
    </row>
    <row r="104" spans="1:7" s="13" customFormat="1" ht="30" x14ac:dyDescent="0.25">
      <c r="A104" s="73" t="s">
        <v>384</v>
      </c>
      <c r="B104" s="15" t="s">
        <v>244</v>
      </c>
      <c r="C104" s="16" t="s">
        <v>524</v>
      </c>
      <c r="D104" s="17"/>
      <c r="E104" s="59">
        <f>E105</f>
        <v>35629.300000000003</v>
      </c>
      <c r="F104" s="59">
        <f>F105</f>
        <v>30735.200000000001</v>
      </c>
      <c r="G104" s="59">
        <f>G105</f>
        <v>30735.200000000001</v>
      </c>
    </row>
    <row r="105" spans="1:7" s="13" customFormat="1" ht="40.5" customHeight="1" x14ac:dyDescent="0.25">
      <c r="A105" s="1" t="s">
        <v>21</v>
      </c>
      <c r="B105" s="15" t="s">
        <v>244</v>
      </c>
      <c r="C105" s="16" t="s">
        <v>524</v>
      </c>
      <c r="D105" s="17">
        <v>200</v>
      </c>
      <c r="E105" s="123">
        <f>30735.2-15.9+4910</f>
        <v>35629.300000000003</v>
      </c>
      <c r="F105" s="123">
        <v>30735.200000000001</v>
      </c>
      <c r="G105" s="123">
        <v>30735.200000000001</v>
      </c>
    </row>
    <row r="106" spans="1:7" s="13" customFormat="1" ht="30" x14ac:dyDescent="0.25">
      <c r="A106" s="66" t="s">
        <v>554</v>
      </c>
      <c r="B106" s="15" t="s">
        <v>244</v>
      </c>
      <c r="C106" s="16" t="s">
        <v>555</v>
      </c>
      <c r="D106" s="17"/>
      <c r="E106" s="123">
        <f>E107</f>
        <v>400.1</v>
      </c>
      <c r="F106" s="123">
        <f t="shared" ref="F106:G106" si="19">F107</f>
        <v>356.3</v>
      </c>
      <c r="G106" s="123">
        <f t="shared" si="19"/>
        <v>356.3</v>
      </c>
    </row>
    <row r="107" spans="1:7" s="13" customFormat="1" ht="30" x14ac:dyDescent="0.25">
      <c r="A107" s="66" t="s">
        <v>21</v>
      </c>
      <c r="B107" s="15" t="s">
        <v>244</v>
      </c>
      <c r="C107" s="16" t="s">
        <v>555</v>
      </c>
      <c r="D107" s="17">
        <v>200</v>
      </c>
      <c r="E107" s="123">
        <f>367.1+33</f>
        <v>400.1</v>
      </c>
      <c r="F107" s="123">
        <v>356.3</v>
      </c>
      <c r="G107" s="123">
        <v>356.3</v>
      </c>
    </row>
    <row r="108" spans="1:7" ht="30" x14ac:dyDescent="0.25">
      <c r="A108" s="66" t="s">
        <v>249</v>
      </c>
      <c r="B108" s="15" t="s">
        <v>244</v>
      </c>
      <c r="C108" s="16" t="s">
        <v>250</v>
      </c>
      <c r="D108" s="17"/>
      <c r="E108" s="59">
        <f>SUM(E109)</f>
        <v>5888.4</v>
      </c>
      <c r="F108" s="59">
        <f>SUM(F109)</f>
        <v>2605.4</v>
      </c>
      <c r="G108" s="59">
        <f>SUM(G109)</f>
        <v>2703.4</v>
      </c>
    </row>
    <row r="109" spans="1:7" ht="30" x14ac:dyDescent="0.25">
      <c r="A109" s="66" t="s">
        <v>251</v>
      </c>
      <c r="B109" s="15" t="s">
        <v>244</v>
      </c>
      <c r="C109" s="16" t="s">
        <v>252</v>
      </c>
      <c r="D109" s="17"/>
      <c r="E109" s="59">
        <f>SUM(E110+E114+E112)</f>
        <v>5888.4</v>
      </c>
      <c r="F109" s="59">
        <f t="shared" ref="F109" si="20">SUM(F110+F114+F112)</f>
        <v>2605.4</v>
      </c>
      <c r="G109" s="59">
        <f>SUM(G110+G114+G112)</f>
        <v>2703.4</v>
      </c>
    </row>
    <row r="110" spans="1:7" ht="30" x14ac:dyDescent="0.25">
      <c r="A110" s="66" t="s">
        <v>253</v>
      </c>
      <c r="B110" s="19" t="s">
        <v>244</v>
      </c>
      <c r="C110" s="75" t="s">
        <v>254</v>
      </c>
      <c r="D110" s="19"/>
      <c r="E110" s="59">
        <f>E111</f>
        <v>155.30000000000001</v>
      </c>
      <c r="F110" s="59">
        <f>F111</f>
        <v>155.30000000000001</v>
      </c>
      <c r="G110" s="59">
        <f>G111</f>
        <v>155.30000000000001</v>
      </c>
    </row>
    <row r="111" spans="1:7" ht="30" x14ac:dyDescent="0.25">
      <c r="A111" s="1" t="s">
        <v>21</v>
      </c>
      <c r="B111" s="19" t="s">
        <v>244</v>
      </c>
      <c r="C111" s="75" t="s">
        <v>254</v>
      </c>
      <c r="D111" s="19" t="s">
        <v>48</v>
      </c>
      <c r="E111" s="123">
        <v>155.30000000000001</v>
      </c>
      <c r="F111" s="123">
        <v>155.30000000000001</v>
      </c>
      <c r="G111" s="123">
        <v>155.30000000000001</v>
      </c>
    </row>
    <row r="112" spans="1:7" ht="30" x14ac:dyDescent="0.25">
      <c r="A112" s="90" t="s">
        <v>440</v>
      </c>
      <c r="B112" s="125" t="s">
        <v>244</v>
      </c>
      <c r="C112" s="125" t="s">
        <v>441</v>
      </c>
      <c r="D112" s="125"/>
      <c r="E112" s="123">
        <v>3307.2</v>
      </c>
      <c r="F112" s="123">
        <v>0</v>
      </c>
      <c r="G112" s="123">
        <v>0</v>
      </c>
    </row>
    <row r="113" spans="1:7" ht="30" x14ac:dyDescent="0.25">
      <c r="A113" s="66" t="s">
        <v>21</v>
      </c>
      <c r="B113" s="125" t="s">
        <v>244</v>
      </c>
      <c r="C113" s="125" t="s">
        <v>441</v>
      </c>
      <c r="D113" s="125" t="s">
        <v>48</v>
      </c>
      <c r="E113" s="123">
        <v>3307.2</v>
      </c>
      <c r="F113" s="123">
        <v>0</v>
      </c>
      <c r="G113" s="123">
        <v>0</v>
      </c>
    </row>
    <row r="114" spans="1:7" ht="30" x14ac:dyDescent="0.25">
      <c r="A114" s="84" t="s">
        <v>255</v>
      </c>
      <c r="B114" s="15" t="s">
        <v>244</v>
      </c>
      <c r="C114" s="75" t="s">
        <v>256</v>
      </c>
      <c r="D114" s="17"/>
      <c r="E114" s="59">
        <f>E115</f>
        <v>2425.9</v>
      </c>
      <c r="F114" s="59">
        <f t="shared" ref="F114:G114" si="21">F115</f>
        <v>2450.1</v>
      </c>
      <c r="G114" s="59">
        <f t="shared" si="21"/>
        <v>2548.1</v>
      </c>
    </row>
    <row r="115" spans="1:7" ht="60" x14ac:dyDescent="0.25">
      <c r="A115" s="1" t="s">
        <v>14</v>
      </c>
      <c r="B115" s="15" t="s">
        <v>244</v>
      </c>
      <c r="C115" s="75" t="s">
        <v>256</v>
      </c>
      <c r="D115" s="17">
        <v>100</v>
      </c>
      <c r="E115" s="123">
        <v>2425.9</v>
      </c>
      <c r="F115" s="123">
        <v>2450.1</v>
      </c>
      <c r="G115" s="123">
        <v>2548.1</v>
      </c>
    </row>
    <row r="116" spans="1:7" ht="30" x14ac:dyDescent="0.25">
      <c r="A116" s="73" t="s">
        <v>257</v>
      </c>
      <c r="B116" s="15" t="s">
        <v>244</v>
      </c>
      <c r="C116" s="16" t="s">
        <v>258</v>
      </c>
      <c r="D116" s="17"/>
      <c r="E116" s="59">
        <f t="shared" ref="E116:G117" si="22">SUM(E117)</f>
        <v>3323.7</v>
      </c>
      <c r="F116" s="59">
        <f t="shared" si="22"/>
        <v>3377.2</v>
      </c>
      <c r="G116" s="59">
        <f t="shared" si="22"/>
        <v>3434.8</v>
      </c>
    </row>
    <row r="117" spans="1:7" ht="30" x14ac:dyDescent="0.25">
      <c r="A117" s="62" t="s">
        <v>259</v>
      </c>
      <c r="B117" s="15" t="s">
        <v>244</v>
      </c>
      <c r="C117" s="16" t="s">
        <v>260</v>
      </c>
      <c r="D117" s="17"/>
      <c r="E117" s="59">
        <f t="shared" si="22"/>
        <v>3323.7</v>
      </c>
      <c r="F117" s="59">
        <f t="shared" si="22"/>
        <v>3377.2</v>
      </c>
      <c r="G117" s="59">
        <f t="shared" si="22"/>
        <v>3434.8</v>
      </c>
    </row>
    <row r="118" spans="1:7" x14ac:dyDescent="0.25">
      <c r="A118" s="62" t="s">
        <v>261</v>
      </c>
      <c r="B118" s="15" t="s">
        <v>244</v>
      </c>
      <c r="C118" s="16" t="s">
        <v>262</v>
      </c>
      <c r="D118" s="17"/>
      <c r="E118" s="59">
        <f>SUM(E119:E120)</f>
        <v>3323.7</v>
      </c>
      <c r="F118" s="59">
        <f>SUM(F119:F120)</f>
        <v>3377.2</v>
      </c>
      <c r="G118" s="59">
        <f>SUM(G119:G120)</f>
        <v>3434.8</v>
      </c>
    </row>
    <row r="119" spans="1:7" ht="60" x14ac:dyDescent="0.25">
      <c r="A119" s="1" t="s">
        <v>14</v>
      </c>
      <c r="B119" s="15" t="s">
        <v>244</v>
      </c>
      <c r="C119" s="16" t="s">
        <v>262</v>
      </c>
      <c r="D119" s="17">
        <v>100</v>
      </c>
      <c r="E119" s="123">
        <v>1387.9</v>
      </c>
      <c r="F119" s="123">
        <v>1441.4</v>
      </c>
      <c r="G119" s="123">
        <v>1499</v>
      </c>
    </row>
    <row r="120" spans="1:7" ht="30" x14ac:dyDescent="0.25">
      <c r="A120" s="1" t="s">
        <v>21</v>
      </c>
      <c r="B120" s="15" t="s">
        <v>244</v>
      </c>
      <c r="C120" s="16" t="s">
        <v>262</v>
      </c>
      <c r="D120" s="17">
        <v>200</v>
      </c>
      <c r="E120" s="123">
        <v>1935.8</v>
      </c>
      <c r="F120" s="123">
        <v>1935.8</v>
      </c>
      <c r="G120" s="123">
        <v>1935.8</v>
      </c>
    </row>
    <row r="121" spans="1:7" ht="45" x14ac:dyDescent="0.25">
      <c r="A121" s="66" t="s">
        <v>475</v>
      </c>
      <c r="B121" s="15" t="s">
        <v>244</v>
      </c>
      <c r="C121" s="16" t="s">
        <v>263</v>
      </c>
      <c r="D121" s="17"/>
      <c r="E121" s="59">
        <f t="shared" ref="E121:G122" si="23">SUM(E122)</f>
        <v>63126.799999999996</v>
      </c>
      <c r="F121" s="59">
        <f t="shared" si="23"/>
        <v>55822.8</v>
      </c>
      <c r="G121" s="59">
        <f t="shared" si="23"/>
        <v>57962.200000000004</v>
      </c>
    </row>
    <row r="122" spans="1:7" ht="30" x14ac:dyDescent="0.25">
      <c r="A122" s="1" t="s">
        <v>264</v>
      </c>
      <c r="B122" s="15" t="s">
        <v>244</v>
      </c>
      <c r="C122" s="16" t="s">
        <v>265</v>
      </c>
      <c r="D122" s="17"/>
      <c r="E122" s="59">
        <f t="shared" si="23"/>
        <v>63126.799999999996</v>
      </c>
      <c r="F122" s="59">
        <f t="shared" si="23"/>
        <v>55822.8</v>
      </c>
      <c r="G122" s="59">
        <f t="shared" si="23"/>
        <v>57962.200000000004</v>
      </c>
    </row>
    <row r="123" spans="1:7" ht="30" x14ac:dyDescent="0.25">
      <c r="A123" s="61" t="s">
        <v>51</v>
      </c>
      <c r="B123" s="15" t="s">
        <v>244</v>
      </c>
      <c r="C123" s="81" t="s">
        <v>266</v>
      </c>
      <c r="D123" s="17"/>
      <c r="E123" s="59">
        <f>SUM(E124:E126)</f>
        <v>63126.799999999996</v>
      </c>
      <c r="F123" s="59">
        <f>SUM(F124:F126)</f>
        <v>55822.8</v>
      </c>
      <c r="G123" s="59">
        <f>SUM(G124:G126)</f>
        <v>57962.200000000004</v>
      </c>
    </row>
    <row r="124" spans="1:7" ht="60" x14ac:dyDescent="0.25">
      <c r="A124" s="1" t="s">
        <v>14</v>
      </c>
      <c r="B124" s="15" t="s">
        <v>244</v>
      </c>
      <c r="C124" s="81" t="s">
        <v>266</v>
      </c>
      <c r="D124" s="17">
        <v>100</v>
      </c>
      <c r="E124" s="123">
        <f>46765.1+9288.3</f>
        <v>56053.399999999994</v>
      </c>
      <c r="F124" s="123">
        <v>48650.8</v>
      </c>
      <c r="G124" s="123">
        <v>50585.3</v>
      </c>
    </row>
    <row r="125" spans="1:7" ht="30" x14ac:dyDescent="0.25">
      <c r="A125" s="1" t="s">
        <v>21</v>
      </c>
      <c r="B125" s="15" t="s">
        <v>244</v>
      </c>
      <c r="C125" s="81" t="s">
        <v>266</v>
      </c>
      <c r="D125" s="17">
        <v>200</v>
      </c>
      <c r="E125" s="123">
        <v>6127.1</v>
      </c>
      <c r="F125" s="123">
        <v>6225.7</v>
      </c>
      <c r="G125" s="123">
        <v>6430.6</v>
      </c>
    </row>
    <row r="126" spans="1:7" x14ac:dyDescent="0.25">
      <c r="A126" s="61" t="s">
        <v>22</v>
      </c>
      <c r="B126" s="15" t="s">
        <v>244</v>
      </c>
      <c r="C126" s="81" t="s">
        <v>266</v>
      </c>
      <c r="D126" s="17">
        <v>800</v>
      </c>
      <c r="E126" s="123">
        <v>946.3</v>
      </c>
      <c r="F126" s="123">
        <v>946.3</v>
      </c>
      <c r="G126" s="123">
        <v>946.3</v>
      </c>
    </row>
    <row r="127" spans="1:7" x14ac:dyDescent="0.25">
      <c r="A127" s="82" t="s">
        <v>65</v>
      </c>
      <c r="B127" s="24" t="s">
        <v>66</v>
      </c>
      <c r="C127" s="24"/>
      <c r="D127" s="25"/>
      <c r="E127" s="12">
        <f>E128+E136+E144+E192+E158</f>
        <v>1695334.9</v>
      </c>
      <c r="F127" s="12">
        <f>F128+F136+F144+F192+F158</f>
        <v>1653980</v>
      </c>
      <c r="G127" s="12">
        <f>G128+G136+G144+G192+G158</f>
        <v>1147072.8999999999</v>
      </c>
    </row>
    <row r="128" spans="1:7" x14ac:dyDescent="0.25">
      <c r="A128" s="83" t="s">
        <v>213</v>
      </c>
      <c r="B128" s="24" t="s">
        <v>214</v>
      </c>
      <c r="C128" s="24"/>
      <c r="D128" s="25"/>
      <c r="E128" s="12">
        <f t="shared" ref="E128:G129" si="24">SUM(E129)</f>
        <v>3759.7</v>
      </c>
      <c r="F128" s="12">
        <f t="shared" si="24"/>
        <v>3192.2</v>
      </c>
      <c r="G128" s="12">
        <f t="shared" si="24"/>
        <v>3024.2</v>
      </c>
    </row>
    <row r="129" spans="1:7" ht="30" x14ac:dyDescent="0.25">
      <c r="A129" s="66" t="s">
        <v>438</v>
      </c>
      <c r="B129" s="21" t="s">
        <v>214</v>
      </c>
      <c r="C129" s="16" t="s">
        <v>69</v>
      </c>
      <c r="D129" s="22"/>
      <c r="E129" s="59">
        <f t="shared" si="24"/>
        <v>3759.7</v>
      </c>
      <c r="F129" s="59">
        <f t="shared" si="24"/>
        <v>3192.2</v>
      </c>
      <c r="G129" s="59">
        <f t="shared" si="24"/>
        <v>3024.2</v>
      </c>
    </row>
    <row r="130" spans="1:7" ht="30" x14ac:dyDescent="0.25">
      <c r="A130" s="66" t="s">
        <v>70</v>
      </c>
      <c r="B130" s="21" t="s">
        <v>214</v>
      </c>
      <c r="C130" s="16" t="s">
        <v>71</v>
      </c>
      <c r="D130" s="22"/>
      <c r="E130" s="59">
        <f>E131</f>
        <v>3759.7</v>
      </c>
      <c r="F130" s="59">
        <f>F131</f>
        <v>3192.2</v>
      </c>
      <c r="G130" s="59">
        <f>G131</f>
        <v>3024.2</v>
      </c>
    </row>
    <row r="131" spans="1:7" ht="30" x14ac:dyDescent="0.25">
      <c r="A131" s="76" t="s">
        <v>72</v>
      </c>
      <c r="B131" s="21" t="s">
        <v>214</v>
      </c>
      <c r="C131" s="16" t="s">
        <v>73</v>
      </c>
      <c r="D131" s="22"/>
      <c r="E131" s="59">
        <f>E132+E134</f>
        <v>3759.7</v>
      </c>
      <c r="F131" s="59">
        <f>F132+F134</f>
        <v>3192.2</v>
      </c>
      <c r="G131" s="59">
        <f>G132+G134</f>
        <v>3024.2</v>
      </c>
    </row>
    <row r="132" spans="1:7" ht="30" x14ac:dyDescent="0.25">
      <c r="A132" s="66" t="s">
        <v>215</v>
      </c>
      <c r="B132" s="21" t="s">
        <v>214</v>
      </c>
      <c r="C132" s="16" t="s">
        <v>216</v>
      </c>
      <c r="D132" s="22"/>
      <c r="E132" s="59">
        <f>SUM(E133)</f>
        <v>1000</v>
      </c>
      <c r="F132" s="59">
        <f>SUM(F133)</f>
        <v>432.5</v>
      </c>
      <c r="G132" s="59">
        <f>SUM(G133)</f>
        <v>264.5</v>
      </c>
    </row>
    <row r="133" spans="1:7" ht="30" x14ac:dyDescent="0.25">
      <c r="A133" s="1" t="s">
        <v>21</v>
      </c>
      <c r="B133" s="21" t="s">
        <v>214</v>
      </c>
      <c r="C133" s="16" t="s">
        <v>216</v>
      </c>
      <c r="D133" s="22">
        <v>200</v>
      </c>
      <c r="E133" s="123">
        <v>1000</v>
      </c>
      <c r="F133" s="123">
        <v>432.5</v>
      </c>
      <c r="G133" s="123">
        <v>264.5</v>
      </c>
    </row>
    <row r="134" spans="1:7" ht="30" x14ac:dyDescent="0.25">
      <c r="A134" s="136" t="s">
        <v>458</v>
      </c>
      <c r="B134" s="21" t="s">
        <v>214</v>
      </c>
      <c r="C134" s="16" t="s">
        <v>217</v>
      </c>
      <c r="D134" s="22"/>
      <c r="E134" s="59">
        <f>E135</f>
        <v>2759.7</v>
      </c>
      <c r="F134" s="59">
        <f>F135</f>
        <v>2759.7</v>
      </c>
      <c r="G134" s="59">
        <f>G135</f>
        <v>2759.7</v>
      </c>
    </row>
    <row r="135" spans="1:7" ht="30" x14ac:dyDescent="0.25">
      <c r="A135" s="1" t="s">
        <v>21</v>
      </c>
      <c r="B135" s="21" t="s">
        <v>214</v>
      </c>
      <c r="C135" s="16" t="s">
        <v>217</v>
      </c>
      <c r="D135" s="22">
        <v>200</v>
      </c>
      <c r="E135" s="123">
        <v>2759.7</v>
      </c>
      <c r="F135" s="123">
        <v>2759.7</v>
      </c>
      <c r="G135" s="123">
        <v>2759.7</v>
      </c>
    </row>
    <row r="136" spans="1:7" x14ac:dyDescent="0.25">
      <c r="A136" s="82" t="s">
        <v>67</v>
      </c>
      <c r="B136" s="24" t="s">
        <v>68</v>
      </c>
      <c r="C136" s="24"/>
      <c r="D136" s="25"/>
      <c r="E136" s="12">
        <f t="shared" ref="E136:G138" si="25">SUM(E137)</f>
        <v>179338.8</v>
      </c>
      <c r="F136" s="12">
        <f t="shared" si="25"/>
        <v>190831.8</v>
      </c>
      <c r="G136" s="12">
        <f t="shared" si="25"/>
        <v>14641.8</v>
      </c>
    </row>
    <row r="137" spans="1:7" ht="30" x14ac:dyDescent="0.25">
      <c r="A137" s="76" t="s">
        <v>438</v>
      </c>
      <c r="B137" s="21" t="s">
        <v>68</v>
      </c>
      <c r="C137" s="78" t="s">
        <v>69</v>
      </c>
      <c r="D137" s="22"/>
      <c r="E137" s="59">
        <f t="shared" si="25"/>
        <v>179338.8</v>
      </c>
      <c r="F137" s="59">
        <f t="shared" si="25"/>
        <v>190831.8</v>
      </c>
      <c r="G137" s="59">
        <f t="shared" si="25"/>
        <v>14641.8</v>
      </c>
    </row>
    <row r="138" spans="1:7" ht="30" x14ac:dyDescent="0.25">
      <c r="A138" s="76" t="s">
        <v>70</v>
      </c>
      <c r="B138" s="21" t="s">
        <v>68</v>
      </c>
      <c r="C138" s="78" t="s">
        <v>71</v>
      </c>
      <c r="D138" s="22"/>
      <c r="E138" s="59">
        <f t="shared" si="25"/>
        <v>179338.8</v>
      </c>
      <c r="F138" s="59">
        <f t="shared" si="25"/>
        <v>190831.8</v>
      </c>
      <c r="G138" s="59">
        <f t="shared" si="25"/>
        <v>14641.8</v>
      </c>
    </row>
    <row r="139" spans="1:7" ht="30" x14ac:dyDescent="0.25">
      <c r="A139" s="76" t="s">
        <v>72</v>
      </c>
      <c r="B139" s="21" t="s">
        <v>68</v>
      </c>
      <c r="C139" s="78" t="s">
        <v>73</v>
      </c>
      <c r="D139" s="22"/>
      <c r="E139" s="59">
        <f>SUM(E142)+E140</f>
        <v>179338.8</v>
      </c>
      <c r="F139" s="59">
        <f t="shared" ref="F139:G139" si="26">SUM(F142)+F140</f>
        <v>190831.8</v>
      </c>
      <c r="G139" s="59">
        <f t="shared" si="26"/>
        <v>14641.8</v>
      </c>
    </row>
    <row r="140" spans="1:7" ht="30" x14ac:dyDescent="0.25">
      <c r="A140" s="76" t="s">
        <v>398</v>
      </c>
      <c r="B140" s="78" t="s">
        <v>68</v>
      </c>
      <c r="C140" s="78" t="s">
        <v>388</v>
      </c>
      <c r="D140" s="85"/>
      <c r="E140" s="59">
        <f>E141</f>
        <v>2903.8</v>
      </c>
      <c r="F140" s="59">
        <f>F141</f>
        <v>2903.8</v>
      </c>
      <c r="G140" s="59">
        <f>G141</f>
        <v>2903.8</v>
      </c>
    </row>
    <row r="141" spans="1:7" ht="30" x14ac:dyDescent="0.25">
      <c r="A141" s="1" t="s">
        <v>21</v>
      </c>
      <c r="B141" s="78" t="s">
        <v>68</v>
      </c>
      <c r="C141" s="78" t="s">
        <v>388</v>
      </c>
      <c r="D141" s="85">
        <v>200</v>
      </c>
      <c r="E141" s="123">
        <v>2903.8</v>
      </c>
      <c r="F141" s="123">
        <v>2903.8</v>
      </c>
      <c r="G141" s="123">
        <v>2903.8</v>
      </c>
    </row>
    <row r="142" spans="1:7" ht="45" x14ac:dyDescent="0.25">
      <c r="A142" s="90" t="s">
        <v>442</v>
      </c>
      <c r="B142" s="21" t="s">
        <v>68</v>
      </c>
      <c r="C142" s="88" t="s">
        <v>443</v>
      </c>
      <c r="D142" s="89"/>
      <c r="E142" s="123">
        <f>SUM(E143)</f>
        <v>176435</v>
      </c>
      <c r="F142" s="123">
        <f t="shared" ref="F142:G142" si="27">SUM(F143)</f>
        <v>187928</v>
      </c>
      <c r="G142" s="123">
        <f t="shared" si="27"/>
        <v>11738</v>
      </c>
    </row>
    <row r="143" spans="1:7" ht="30" x14ac:dyDescent="0.25">
      <c r="A143" s="84" t="s">
        <v>74</v>
      </c>
      <c r="B143" s="21" t="s">
        <v>68</v>
      </c>
      <c r="C143" s="88" t="s">
        <v>443</v>
      </c>
      <c r="D143" s="89">
        <v>400</v>
      </c>
      <c r="E143" s="123">
        <f>SUM(10586.1+165848.9)</f>
        <v>176435</v>
      </c>
      <c r="F143" s="123">
        <f>SUM(11275.7+176652.3)</f>
        <v>187928</v>
      </c>
      <c r="G143" s="123">
        <v>11738</v>
      </c>
    </row>
    <row r="144" spans="1:7" x14ac:dyDescent="0.25">
      <c r="A144" s="82" t="s">
        <v>75</v>
      </c>
      <c r="B144" s="24" t="s">
        <v>76</v>
      </c>
      <c r="C144" s="24"/>
      <c r="D144" s="25"/>
      <c r="E144" s="12">
        <f>SUM(E145)</f>
        <v>61454.600000000006</v>
      </c>
      <c r="F144" s="12">
        <f>SUM(F145)</f>
        <v>48885.1</v>
      </c>
      <c r="G144" s="12">
        <f>SUM(G145)</f>
        <v>32146.6</v>
      </c>
    </row>
    <row r="145" spans="1:7" ht="30" x14ac:dyDescent="0.25">
      <c r="A145" s="76" t="s">
        <v>444</v>
      </c>
      <c r="B145" s="21" t="s">
        <v>76</v>
      </c>
      <c r="C145" s="78" t="s">
        <v>77</v>
      </c>
      <c r="D145" s="85"/>
      <c r="E145" s="59">
        <f>SUM(E146)</f>
        <v>61454.600000000006</v>
      </c>
      <c r="F145" s="59">
        <f t="shared" ref="F145:G145" si="28">SUM(F146)</f>
        <v>48885.1</v>
      </c>
      <c r="G145" s="59">
        <f t="shared" si="28"/>
        <v>32146.6</v>
      </c>
    </row>
    <row r="146" spans="1:7" ht="30" x14ac:dyDescent="0.25">
      <c r="A146" s="76" t="s">
        <v>78</v>
      </c>
      <c r="B146" s="21" t="s">
        <v>76</v>
      </c>
      <c r="C146" s="78" t="s">
        <v>79</v>
      </c>
      <c r="D146" s="85"/>
      <c r="E146" s="59">
        <f>SUM(E147)</f>
        <v>61454.600000000006</v>
      </c>
      <c r="F146" s="59">
        <f>SUM(F147)</f>
        <v>48885.1</v>
      </c>
      <c r="G146" s="59">
        <f>SUM(G147)</f>
        <v>32146.6</v>
      </c>
    </row>
    <row r="147" spans="1:7" ht="42" customHeight="1" x14ac:dyDescent="0.25">
      <c r="A147" s="76" t="s">
        <v>80</v>
      </c>
      <c r="B147" s="21" t="s">
        <v>76</v>
      </c>
      <c r="C147" s="78" t="s">
        <v>81</v>
      </c>
      <c r="D147" s="85"/>
      <c r="E147" s="59">
        <f>SUM(E150+E152+E154+E156)+E148</f>
        <v>61454.600000000006</v>
      </c>
      <c r="F147" s="59">
        <f t="shared" ref="F147:G147" si="29">SUM(F150+F152+F154+F156)+F148</f>
        <v>48885.1</v>
      </c>
      <c r="G147" s="59">
        <f t="shared" si="29"/>
        <v>32146.6</v>
      </c>
    </row>
    <row r="148" spans="1:7" ht="18" customHeight="1" x14ac:dyDescent="0.25">
      <c r="A148" s="90" t="s">
        <v>539</v>
      </c>
      <c r="B148" s="88" t="s">
        <v>76</v>
      </c>
      <c r="C148" s="88" t="s">
        <v>540</v>
      </c>
      <c r="D148" s="89"/>
      <c r="E148" s="59">
        <f>E149</f>
        <v>11915.9</v>
      </c>
      <c r="F148" s="59">
        <f t="shared" ref="F148:G148" si="30">F149</f>
        <v>0</v>
      </c>
      <c r="G148" s="59">
        <f t="shared" si="30"/>
        <v>0</v>
      </c>
    </row>
    <row r="149" spans="1:7" ht="30" x14ac:dyDescent="0.25">
      <c r="A149" s="66" t="s">
        <v>21</v>
      </c>
      <c r="B149" s="88" t="s">
        <v>76</v>
      </c>
      <c r="C149" s="88" t="s">
        <v>540</v>
      </c>
      <c r="D149" s="89">
        <v>200</v>
      </c>
      <c r="E149" s="59">
        <f>3146+7701.3+1068.6</f>
        <v>11915.9</v>
      </c>
      <c r="F149" s="59">
        <v>0</v>
      </c>
      <c r="G149" s="59">
        <v>0</v>
      </c>
    </row>
    <row r="150" spans="1:7" ht="30" x14ac:dyDescent="0.25">
      <c r="A150" s="79" t="s">
        <v>55</v>
      </c>
      <c r="B150" s="21" t="s">
        <v>76</v>
      </c>
      <c r="C150" s="78" t="s">
        <v>82</v>
      </c>
      <c r="D150" s="85"/>
      <c r="E150" s="59">
        <f>SUM(E151)</f>
        <v>5879.7999999999993</v>
      </c>
      <c r="F150" s="59">
        <f>SUM(F151)</f>
        <v>5226.2</v>
      </c>
      <c r="G150" s="59">
        <f>SUM(G151)</f>
        <v>5319.7</v>
      </c>
    </row>
    <row r="151" spans="1:7" ht="30" x14ac:dyDescent="0.25">
      <c r="A151" s="79" t="s">
        <v>56</v>
      </c>
      <c r="B151" s="21" t="s">
        <v>76</v>
      </c>
      <c r="C151" s="78" t="s">
        <v>82</v>
      </c>
      <c r="D151" s="85">
        <v>600</v>
      </c>
      <c r="E151" s="123">
        <f>5041.4+838.4</f>
        <v>5879.7999999999993</v>
      </c>
      <c r="F151" s="123">
        <v>5226.2</v>
      </c>
      <c r="G151" s="123">
        <v>5319.7</v>
      </c>
    </row>
    <row r="152" spans="1:7" ht="45" x14ac:dyDescent="0.25">
      <c r="A152" s="76" t="s">
        <v>83</v>
      </c>
      <c r="B152" s="21" t="s">
        <v>76</v>
      </c>
      <c r="C152" s="21" t="s">
        <v>84</v>
      </c>
      <c r="D152" s="22"/>
      <c r="E152" s="59">
        <f>SUM(E153)</f>
        <v>35726.300000000003</v>
      </c>
      <c r="F152" s="59">
        <f>SUM(F153)</f>
        <v>35726.300000000003</v>
      </c>
      <c r="G152" s="59">
        <f>SUM(G153)</f>
        <v>21848.799999999999</v>
      </c>
    </row>
    <row r="153" spans="1:7" x14ac:dyDescent="0.25">
      <c r="A153" s="79" t="s">
        <v>22</v>
      </c>
      <c r="B153" s="21" t="s">
        <v>76</v>
      </c>
      <c r="C153" s="21" t="s">
        <v>84</v>
      </c>
      <c r="D153" s="22">
        <v>800</v>
      </c>
      <c r="E153" s="123">
        <v>35726.300000000003</v>
      </c>
      <c r="F153" s="123">
        <v>35726.300000000003</v>
      </c>
      <c r="G153" s="123">
        <v>21848.799999999999</v>
      </c>
    </row>
    <row r="154" spans="1:7" ht="75" x14ac:dyDescent="0.25">
      <c r="A154" s="76" t="s">
        <v>400</v>
      </c>
      <c r="B154" s="21" t="s">
        <v>76</v>
      </c>
      <c r="C154" s="21" t="s">
        <v>85</v>
      </c>
      <c r="D154" s="22"/>
      <c r="E154" s="59">
        <f>SUM(E155)</f>
        <v>7606.1</v>
      </c>
      <c r="F154" s="59">
        <f>SUM(F155)</f>
        <v>7606.1</v>
      </c>
      <c r="G154" s="59">
        <f>SUM(G155)</f>
        <v>4651.6000000000004</v>
      </c>
    </row>
    <row r="155" spans="1:7" x14ac:dyDescent="0.25">
      <c r="A155" s="79" t="s">
        <v>22</v>
      </c>
      <c r="B155" s="21" t="s">
        <v>76</v>
      </c>
      <c r="C155" s="21" t="s">
        <v>85</v>
      </c>
      <c r="D155" s="22">
        <v>800</v>
      </c>
      <c r="E155" s="123">
        <v>7606.1</v>
      </c>
      <c r="F155" s="123">
        <v>7606.1</v>
      </c>
      <c r="G155" s="123">
        <v>4651.6000000000004</v>
      </c>
    </row>
    <row r="156" spans="1:7" ht="75" x14ac:dyDescent="0.25">
      <c r="A156" s="87" t="s">
        <v>86</v>
      </c>
      <c r="B156" s="21" t="s">
        <v>76</v>
      </c>
      <c r="C156" s="21" t="s">
        <v>87</v>
      </c>
      <c r="D156" s="22"/>
      <c r="E156" s="59">
        <f>SUM(E157)</f>
        <v>326.5</v>
      </c>
      <c r="F156" s="59">
        <f>SUM(F157)</f>
        <v>326.5</v>
      </c>
      <c r="G156" s="59">
        <f>SUM(G157)</f>
        <v>326.5</v>
      </c>
    </row>
    <row r="157" spans="1:7" x14ac:dyDescent="0.25">
      <c r="A157" s="79" t="s">
        <v>22</v>
      </c>
      <c r="B157" s="21" t="s">
        <v>76</v>
      </c>
      <c r="C157" s="21" t="s">
        <v>87</v>
      </c>
      <c r="D157" s="22">
        <v>800</v>
      </c>
      <c r="E157" s="123">
        <v>326.5</v>
      </c>
      <c r="F157" s="123">
        <v>326.5</v>
      </c>
      <c r="G157" s="123">
        <v>326.5</v>
      </c>
    </row>
    <row r="158" spans="1:7" x14ac:dyDescent="0.25">
      <c r="A158" s="82" t="s">
        <v>88</v>
      </c>
      <c r="B158" s="24" t="s">
        <v>89</v>
      </c>
      <c r="C158" s="24"/>
      <c r="D158" s="25"/>
      <c r="E158" s="12">
        <f>SUM(E159)+E187</f>
        <v>985574.7</v>
      </c>
      <c r="F158" s="12">
        <f>SUM(F159)+F187</f>
        <v>1074092.7</v>
      </c>
      <c r="G158" s="12">
        <f>SUM(G159)+G187</f>
        <v>883925.4</v>
      </c>
    </row>
    <row r="159" spans="1:7" ht="30" x14ac:dyDescent="0.25">
      <c r="A159" s="76" t="s">
        <v>444</v>
      </c>
      <c r="B159" s="21" t="s">
        <v>89</v>
      </c>
      <c r="C159" s="78" t="s">
        <v>77</v>
      </c>
      <c r="D159" s="22"/>
      <c r="E159" s="59">
        <f>SUM(E160)</f>
        <v>961954.2</v>
      </c>
      <c r="F159" s="59">
        <f t="shared" ref="F159:G159" si="31">SUM(F160)</f>
        <v>1067259.8999999999</v>
      </c>
      <c r="G159" s="59">
        <f t="shared" si="31"/>
        <v>876819.3</v>
      </c>
    </row>
    <row r="160" spans="1:7" ht="30" x14ac:dyDescent="0.25">
      <c r="A160" s="76" t="s">
        <v>90</v>
      </c>
      <c r="B160" s="21" t="s">
        <v>89</v>
      </c>
      <c r="C160" s="78" t="s">
        <v>91</v>
      </c>
      <c r="D160" s="22"/>
      <c r="E160" s="59">
        <f>SUM(E161)</f>
        <v>961954.2</v>
      </c>
      <c r="F160" s="59">
        <f>SUM(F161)</f>
        <v>1067259.8999999999</v>
      </c>
      <c r="G160" s="59">
        <f>SUM(G161)</f>
        <v>876819.3</v>
      </c>
    </row>
    <row r="161" spans="1:7" ht="30" x14ac:dyDescent="0.25">
      <c r="A161" s="84" t="s">
        <v>92</v>
      </c>
      <c r="B161" s="21" t="s">
        <v>89</v>
      </c>
      <c r="C161" s="78" t="s">
        <v>93</v>
      </c>
      <c r="D161" s="22"/>
      <c r="E161" s="59">
        <f>E166++E169+E175+E173+E179+E181+E183+E177+E164+E185+E171+E162</f>
        <v>961954.2</v>
      </c>
      <c r="F161" s="59">
        <f t="shared" ref="F161:G161" si="32">F166++F169+F175+F173+F179+F181+F183+F177+F164+F185+F171+F162</f>
        <v>1067259.8999999999</v>
      </c>
      <c r="G161" s="59">
        <f t="shared" si="32"/>
        <v>876819.3</v>
      </c>
    </row>
    <row r="162" spans="1:7" x14ac:dyDescent="0.25">
      <c r="A162" s="76" t="s">
        <v>585</v>
      </c>
      <c r="B162" s="21" t="s">
        <v>89</v>
      </c>
      <c r="C162" s="78" t="s">
        <v>586</v>
      </c>
      <c r="D162" s="22"/>
      <c r="E162" s="59">
        <f>SUM(E163)</f>
        <v>529412</v>
      </c>
      <c r="F162" s="59">
        <f t="shared" ref="F162:G162" si="33">SUM(F163)</f>
        <v>554785.30000000005</v>
      </c>
      <c r="G162" s="59">
        <f t="shared" si="33"/>
        <v>428464</v>
      </c>
    </row>
    <row r="163" spans="1:7" ht="45" x14ac:dyDescent="0.25">
      <c r="A163" s="76" t="s">
        <v>445</v>
      </c>
      <c r="B163" s="21" t="s">
        <v>89</v>
      </c>
      <c r="C163" s="88" t="s">
        <v>446</v>
      </c>
      <c r="D163" s="89">
        <v>200</v>
      </c>
      <c r="E163" s="59">
        <v>529412</v>
      </c>
      <c r="F163" s="59">
        <v>554785.30000000005</v>
      </c>
      <c r="G163" s="59">
        <v>428464</v>
      </c>
    </row>
    <row r="164" spans="1:7" ht="45" x14ac:dyDescent="0.25">
      <c r="A164" s="84" t="s">
        <v>445</v>
      </c>
      <c r="B164" s="88" t="s">
        <v>89</v>
      </c>
      <c r="C164" s="88" t="s">
        <v>446</v>
      </c>
      <c r="D164" s="89"/>
      <c r="E164" s="123">
        <f>SUM(E165)</f>
        <v>0</v>
      </c>
      <c r="F164" s="123">
        <f t="shared" ref="F164:G164" si="34">SUM(F165)</f>
        <v>0</v>
      </c>
      <c r="G164" s="123">
        <f t="shared" si="34"/>
        <v>0</v>
      </c>
    </row>
    <row r="165" spans="1:7" ht="30" x14ac:dyDescent="0.25">
      <c r="A165" s="66" t="s">
        <v>21</v>
      </c>
      <c r="B165" s="88" t="s">
        <v>89</v>
      </c>
      <c r="C165" s="88" t="s">
        <v>446</v>
      </c>
      <c r="D165" s="89">
        <v>200</v>
      </c>
      <c r="E165" s="123">
        <f>529412-529412</f>
        <v>0</v>
      </c>
      <c r="F165" s="123">
        <f>554785.3-554785.3</f>
        <v>0</v>
      </c>
      <c r="G165" s="123">
        <v>0</v>
      </c>
    </row>
    <row r="166" spans="1:7" ht="45" x14ac:dyDescent="0.25">
      <c r="A166" s="84" t="s">
        <v>435</v>
      </c>
      <c r="B166" s="78" t="s">
        <v>89</v>
      </c>
      <c r="C166" s="78" t="s">
        <v>393</v>
      </c>
      <c r="D166" s="22"/>
      <c r="E166" s="59">
        <f>E167+E168</f>
        <v>239523.59999999998</v>
      </c>
      <c r="F166" s="59">
        <f>F167+F168</f>
        <v>289961.59999999998</v>
      </c>
      <c r="G166" s="59">
        <f>G167+G168</f>
        <v>289961.59999999998</v>
      </c>
    </row>
    <row r="167" spans="1:7" ht="30" x14ac:dyDescent="0.25">
      <c r="A167" s="1" t="s">
        <v>21</v>
      </c>
      <c r="B167" s="78" t="s">
        <v>89</v>
      </c>
      <c r="C167" s="78" t="s">
        <v>393</v>
      </c>
      <c r="D167" s="85">
        <v>200</v>
      </c>
      <c r="E167" s="123">
        <f>202446.3-15422.7</f>
        <v>187023.59999999998</v>
      </c>
      <c r="F167" s="123">
        <f>237463.8-2.2</f>
        <v>237461.59999999998</v>
      </c>
      <c r="G167" s="123">
        <f>237463.8-2.2</f>
        <v>237461.59999999998</v>
      </c>
    </row>
    <row r="168" spans="1:7" ht="30" x14ac:dyDescent="0.25">
      <c r="A168" s="79" t="s">
        <v>74</v>
      </c>
      <c r="B168" s="78" t="s">
        <v>89</v>
      </c>
      <c r="C168" s="78" t="s">
        <v>393</v>
      </c>
      <c r="D168" s="85">
        <v>400</v>
      </c>
      <c r="E168" s="123">
        <v>52500</v>
      </c>
      <c r="F168" s="123">
        <v>52500</v>
      </c>
      <c r="G168" s="123">
        <v>52500</v>
      </c>
    </row>
    <row r="169" spans="1:7" x14ac:dyDescent="0.25">
      <c r="A169" s="91" t="s">
        <v>590</v>
      </c>
      <c r="B169" s="21" t="s">
        <v>89</v>
      </c>
      <c r="C169" s="21" t="s">
        <v>419</v>
      </c>
      <c r="D169" s="64"/>
      <c r="E169" s="60">
        <f>SUM(E170)</f>
        <v>22.8</v>
      </c>
      <c r="F169" s="60">
        <f t="shared" ref="F169:G169" si="35">SUM(F170)</f>
        <v>13.9</v>
      </c>
      <c r="G169" s="60">
        <f t="shared" si="35"/>
        <v>13.9</v>
      </c>
    </row>
    <row r="170" spans="1:7" ht="30" x14ac:dyDescent="0.25">
      <c r="A170" s="66" t="s">
        <v>21</v>
      </c>
      <c r="B170" s="21" t="s">
        <v>89</v>
      </c>
      <c r="C170" s="21" t="s">
        <v>419</v>
      </c>
      <c r="D170" s="64">
        <v>200</v>
      </c>
      <c r="E170" s="123">
        <v>22.8</v>
      </c>
      <c r="F170" s="123">
        <v>13.9</v>
      </c>
      <c r="G170" s="123">
        <v>13.9</v>
      </c>
    </row>
    <row r="171" spans="1:7" ht="45" x14ac:dyDescent="0.25">
      <c r="A171" s="66" t="s">
        <v>580</v>
      </c>
      <c r="B171" s="21" t="s">
        <v>89</v>
      </c>
      <c r="C171" s="88" t="s">
        <v>581</v>
      </c>
      <c r="D171" s="89"/>
      <c r="E171" s="123">
        <f>E172</f>
        <v>4209.8999999999996</v>
      </c>
      <c r="F171" s="123">
        <f t="shared" ref="F171:G171" si="36">F172</f>
        <v>0</v>
      </c>
      <c r="G171" s="123">
        <f t="shared" si="36"/>
        <v>0</v>
      </c>
    </row>
    <row r="172" spans="1:7" ht="30" x14ac:dyDescent="0.25">
      <c r="A172" s="23" t="s">
        <v>74</v>
      </c>
      <c r="B172" s="21" t="s">
        <v>89</v>
      </c>
      <c r="C172" s="88" t="s">
        <v>581</v>
      </c>
      <c r="D172" s="89">
        <v>400</v>
      </c>
      <c r="E172" s="123">
        <v>4209.8999999999996</v>
      </c>
      <c r="F172" s="123"/>
      <c r="G172" s="123"/>
    </row>
    <row r="173" spans="1:7" ht="30" x14ac:dyDescent="0.25">
      <c r="A173" s="23" t="s">
        <v>447</v>
      </c>
      <c r="B173" s="88" t="s">
        <v>89</v>
      </c>
      <c r="C173" s="88" t="s">
        <v>414</v>
      </c>
      <c r="D173" s="89"/>
      <c r="E173" s="123">
        <f>SUM(E174)</f>
        <v>8100</v>
      </c>
      <c r="F173" s="123">
        <f t="shared" ref="F173:G173" si="37">SUM(F174)</f>
        <v>33102</v>
      </c>
      <c r="G173" s="123">
        <f t="shared" si="37"/>
        <v>3000</v>
      </c>
    </row>
    <row r="174" spans="1:7" ht="30" x14ac:dyDescent="0.25">
      <c r="A174" s="23" t="s">
        <v>74</v>
      </c>
      <c r="B174" s="88" t="s">
        <v>89</v>
      </c>
      <c r="C174" s="88" t="s">
        <v>414</v>
      </c>
      <c r="D174" s="89">
        <v>400</v>
      </c>
      <c r="E174" s="123">
        <v>8100</v>
      </c>
      <c r="F174" s="123">
        <v>33102</v>
      </c>
      <c r="G174" s="123">
        <v>3000</v>
      </c>
    </row>
    <row r="175" spans="1:7" ht="30" x14ac:dyDescent="0.25">
      <c r="A175" s="77" t="s">
        <v>218</v>
      </c>
      <c r="B175" s="21" t="s">
        <v>89</v>
      </c>
      <c r="C175" s="21" t="s">
        <v>219</v>
      </c>
      <c r="D175" s="22"/>
      <c r="E175" s="59">
        <f>SUM(E176)</f>
        <v>28066</v>
      </c>
      <c r="F175" s="59">
        <f>SUM(F176)</f>
        <v>96993.4</v>
      </c>
      <c r="G175" s="59">
        <f>SUM(G176)</f>
        <v>20000</v>
      </c>
    </row>
    <row r="176" spans="1:7" x14ac:dyDescent="0.25">
      <c r="A176" s="79" t="s">
        <v>22</v>
      </c>
      <c r="B176" s="21" t="s">
        <v>89</v>
      </c>
      <c r="C176" s="21" t="s">
        <v>219</v>
      </c>
      <c r="D176" s="22">
        <v>800</v>
      </c>
      <c r="E176" s="123">
        <f>81425.9+16640.1-70000</f>
        <v>28066</v>
      </c>
      <c r="F176" s="123">
        <f>58519.2+18474.2+20000</f>
        <v>96993.4</v>
      </c>
      <c r="G176" s="20">
        <v>20000</v>
      </c>
    </row>
    <row r="177" spans="1:7" ht="30" x14ac:dyDescent="0.25">
      <c r="A177" s="84" t="s">
        <v>448</v>
      </c>
      <c r="B177" s="88" t="s">
        <v>89</v>
      </c>
      <c r="C177" s="88" t="s">
        <v>449</v>
      </c>
      <c r="D177" s="89"/>
      <c r="E177" s="123">
        <f>SUM(E178)</f>
        <v>475.3</v>
      </c>
      <c r="F177" s="123">
        <f t="shared" ref="F177:G177" si="38">SUM(F178)</f>
        <v>3125</v>
      </c>
      <c r="G177" s="123">
        <f t="shared" si="38"/>
        <v>2500</v>
      </c>
    </row>
    <row r="178" spans="1:7" x14ac:dyDescent="0.25">
      <c r="A178" s="84" t="s">
        <v>22</v>
      </c>
      <c r="B178" s="88" t="s">
        <v>89</v>
      </c>
      <c r="C178" s="88" t="s">
        <v>449</v>
      </c>
      <c r="D178" s="89">
        <v>800</v>
      </c>
      <c r="E178" s="123">
        <v>475.3</v>
      </c>
      <c r="F178" s="123">
        <v>3125</v>
      </c>
      <c r="G178" s="123">
        <v>2500</v>
      </c>
    </row>
    <row r="179" spans="1:7" ht="60" x14ac:dyDescent="0.25">
      <c r="A179" s="76" t="s">
        <v>450</v>
      </c>
      <c r="B179" s="88" t="s">
        <v>89</v>
      </c>
      <c r="C179" s="88" t="s">
        <v>427</v>
      </c>
      <c r="D179" s="89"/>
      <c r="E179" s="60">
        <f>E180</f>
        <v>111095.9</v>
      </c>
      <c r="F179" s="60">
        <f>F180</f>
        <v>54725.199999999983</v>
      </c>
      <c r="G179" s="20">
        <f>G180</f>
        <v>111748.29999999999</v>
      </c>
    </row>
    <row r="180" spans="1:7" x14ac:dyDescent="0.25">
      <c r="A180" s="84" t="s">
        <v>22</v>
      </c>
      <c r="B180" s="88" t="s">
        <v>89</v>
      </c>
      <c r="C180" s="88" t="s">
        <v>427</v>
      </c>
      <c r="D180" s="89">
        <v>800</v>
      </c>
      <c r="E180" s="123">
        <f>127736-16640.1</f>
        <v>111095.9</v>
      </c>
      <c r="F180" s="123">
        <f>156944-18474.2-83744.6</f>
        <v>54725.199999999983</v>
      </c>
      <c r="G180" s="123">
        <f>169736.9-57988.6</f>
        <v>111748.29999999999</v>
      </c>
    </row>
    <row r="181" spans="1:7" ht="90" x14ac:dyDescent="0.25">
      <c r="A181" s="76" t="s">
        <v>451</v>
      </c>
      <c r="B181" s="88" t="s">
        <v>89</v>
      </c>
      <c r="C181" s="88" t="s">
        <v>428</v>
      </c>
      <c r="D181" s="89"/>
      <c r="E181" s="60">
        <f>E182</f>
        <v>2101.9</v>
      </c>
      <c r="F181" s="60">
        <f t="shared" ref="F181:G181" si="39">F182</f>
        <v>2101.9</v>
      </c>
      <c r="G181" s="60">
        <f t="shared" si="39"/>
        <v>1285.4000000000001</v>
      </c>
    </row>
    <row r="182" spans="1:7" x14ac:dyDescent="0.25">
      <c r="A182" s="84" t="s">
        <v>22</v>
      </c>
      <c r="B182" s="88" t="s">
        <v>89</v>
      </c>
      <c r="C182" s="88" t="s">
        <v>428</v>
      </c>
      <c r="D182" s="89">
        <v>800</v>
      </c>
      <c r="E182" s="123">
        <v>2101.9</v>
      </c>
      <c r="F182" s="123">
        <v>2101.9</v>
      </c>
      <c r="G182" s="123">
        <v>1285.4000000000001</v>
      </c>
    </row>
    <row r="183" spans="1:7" ht="75" x14ac:dyDescent="0.25">
      <c r="A183" s="76" t="s">
        <v>452</v>
      </c>
      <c r="B183" s="88" t="s">
        <v>89</v>
      </c>
      <c r="C183" s="88" t="s">
        <v>429</v>
      </c>
      <c r="D183" s="89"/>
      <c r="E183" s="60">
        <f>E184</f>
        <v>38108.9</v>
      </c>
      <c r="F183" s="60">
        <f t="shared" ref="F183:G183" si="40">F184</f>
        <v>32451.599999999999</v>
      </c>
      <c r="G183" s="60">
        <f t="shared" si="40"/>
        <v>19846.099999999999</v>
      </c>
    </row>
    <row r="184" spans="1:7" x14ac:dyDescent="0.25">
      <c r="A184" s="84" t="s">
        <v>22</v>
      </c>
      <c r="B184" s="88" t="s">
        <v>89</v>
      </c>
      <c r="C184" s="88" t="s">
        <v>429</v>
      </c>
      <c r="D184" s="89">
        <v>800</v>
      </c>
      <c r="E184" s="123">
        <v>38108.9</v>
      </c>
      <c r="F184" s="123">
        <v>32451.599999999999</v>
      </c>
      <c r="G184" s="123">
        <v>19846.099999999999</v>
      </c>
    </row>
    <row r="185" spans="1:7" x14ac:dyDescent="0.25">
      <c r="A185" s="76" t="s">
        <v>541</v>
      </c>
      <c r="B185" s="88" t="s">
        <v>89</v>
      </c>
      <c r="C185" s="88" t="s">
        <v>542</v>
      </c>
      <c r="D185" s="89"/>
      <c r="E185" s="123">
        <f>E186</f>
        <v>837.9</v>
      </c>
      <c r="F185" s="123">
        <f t="shared" ref="F185:G185" si="41">F186</f>
        <v>0</v>
      </c>
      <c r="G185" s="123">
        <f t="shared" si="41"/>
        <v>0</v>
      </c>
    </row>
    <row r="186" spans="1:7" ht="30" x14ac:dyDescent="0.25">
      <c r="A186" s="66" t="s">
        <v>21</v>
      </c>
      <c r="B186" s="88" t="s">
        <v>89</v>
      </c>
      <c r="C186" s="88" t="s">
        <v>542</v>
      </c>
      <c r="D186" s="89">
        <v>200</v>
      </c>
      <c r="E186" s="123">
        <v>837.9</v>
      </c>
      <c r="F186" s="123">
        <v>0</v>
      </c>
      <c r="G186" s="123">
        <v>0</v>
      </c>
    </row>
    <row r="187" spans="1:7" ht="30" x14ac:dyDescent="0.25">
      <c r="A187" s="73" t="s">
        <v>438</v>
      </c>
      <c r="B187" s="15" t="s">
        <v>89</v>
      </c>
      <c r="C187" s="16" t="s">
        <v>69</v>
      </c>
      <c r="D187" s="89"/>
      <c r="E187" s="123">
        <f>SUM(E188)</f>
        <v>23620.5</v>
      </c>
      <c r="F187" s="123">
        <f t="shared" ref="F187:G190" si="42">SUM(F188)</f>
        <v>6832.8</v>
      </c>
      <c r="G187" s="123">
        <f t="shared" si="42"/>
        <v>7106.1</v>
      </c>
    </row>
    <row r="188" spans="1:7" ht="30" x14ac:dyDescent="0.25">
      <c r="A188" s="73" t="s">
        <v>245</v>
      </c>
      <c r="B188" s="15" t="s">
        <v>89</v>
      </c>
      <c r="C188" s="16" t="s">
        <v>246</v>
      </c>
      <c r="D188" s="89"/>
      <c r="E188" s="123">
        <f>SUM(E189)</f>
        <v>23620.5</v>
      </c>
      <c r="F188" s="123">
        <f t="shared" si="42"/>
        <v>6832.8</v>
      </c>
      <c r="G188" s="123">
        <f t="shared" si="42"/>
        <v>7106.1</v>
      </c>
    </row>
    <row r="189" spans="1:7" ht="30" x14ac:dyDescent="0.25">
      <c r="A189" s="73" t="s">
        <v>247</v>
      </c>
      <c r="B189" s="15" t="s">
        <v>89</v>
      </c>
      <c r="C189" s="16" t="s">
        <v>248</v>
      </c>
      <c r="D189" s="89"/>
      <c r="E189" s="123">
        <f>SUM(E190)</f>
        <v>23620.5</v>
      </c>
      <c r="F189" s="123">
        <f t="shared" si="42"/>
        <v>6832.8</v>
      </c>
      <c r="G189" s="123">
        <f t="shared" si="42"/>
        <v>7106.1</v>
      </c>
    </row>
    <row r="190" spans="1:7" ht="30" x14ac:dyDescent="0.25">
      <c r="A190" s="73" t="s">
        <v>453</v>
      </c>
      <c r="B190" s="15" t="s">
        <v>89</v>
      </c>
      <c r="C190" s="16" t="s">
        <v>454</v>
      </c>
      <c r="D190" s="89"/>
      <c r="E190" s="123">
        <f>SUM(E191)</f>
        <v>23620.5</v>
      </c>
      <c r="F190" s="123">
        <f t="shared" si="42"/>
        <v>6832.8</v>
      </c>
      <c r="G190" s="123">
        <f t="shared" si="42"/>
        <v>7106.1</v>
      </c>
    </row>
    <row r="191" spans="1:7" ht="30" x14ac:dyDescent="0.25">
      <c r="A191" s="66" t="s">
        <v>21</v>
      </c>
      <c r="B191" s="15" t="s">
        <v>89</v>
      </c>
      <c r="C191" s="16" t="s">
        <v>454</v>
      </c>
      <c r="D191" s="89">
        <v>200</v>
      </c>
      <c r="E191" s="123">
        <v>23620.5</v>
      </c>
      <c r="F191" s="123">
        <v>6832.8</v>
      </c>
      <c r="G191" s="123">
        <v>7106.1</v>
      </c>
    </row>
    <row r="192" spans="1:7" x14ac:dyDescent="0.25">
      <c r="A192" s="82" t="s">
        <v>99</v>
      </c>
      <c r="B192" s="24" t="s">
        <v>100</v>
      </c>
      <c r="C192" s="24"/>
      <c r="D192" s="25"/>
      <c r="E192" s="12">
        <f>SUM(E193+E207)</f>
        <v>465207.10000000003</v>
      </c>
      <c r="F192" s="12">
        <f>SUM(F193+F207)</f>
        <v>336978.2</v>
      </c>
      <c r="G192" s="12">
        <f>SUM(G193+G207)</f>
        <v>213334.9</v>
      </c>
    </row>
    <row r="193" spans="1:7" ht="30" x14ac:dyDescent="0.25">
      <c r="A193" s="76" t="s">
        <v>459</v>
      </c>
      <c r="B193" s="88" t="s">
        <v>100</v>
      </c>
      <c r="C193" s="88" t="s">
        <v>112</v>
      </c>
      <c r="D193" s="89"/>
      <c r="E193" s="123">
        <f>SUM(E194+E198)</f>
        <v>447848.4</v>
      </c>
      <c r="F193" s="123">
        <f t="shared" ref="F193:G193" si="43">SUM(F194+F198)</f>
        <v>313020.7</v>
      </c>
      <c r="G193" s="123">
        <f t="shared" si="43"/>
        <v>212667.9</v>
      </c>
    </row>
    <row r="194" spans="1:7" x14ac:dyDescent="0.25">
      <c r="A194" s="76" t="s">
        <v>460</v>
      </c>
      <c r="B194" s="88" t="s">
        <v>100</v>
      </c>
      <c r="C194" s="88" t="s">
        <v>113</v>
      </c>
      <c r="D194" s="89"/>
      <c r="E194" s="123">
        <f>SUM(E195)</f>
        <v>419149</v>
      </c>
      <c r="F194" s="123">
        <f t="shared" ref="F194:G196" si="44">SUM(F195)</f>
        <v>300000</v>
      </c>
      <c r="G194" s="123">
        <f t="shared" si="44"/>
        <v>200000</v>
      </c>
    </row>
    <row r="195" spans="1:7" ht="30" x14ac:dyDescent="0.25">
      <c r="A195" s="84" t="s">
        <v>461</v>
      </c>
      <c r="B195" s="88" t="s">
        <v>100</v>
      </c>
      <c r="C195" s="88" t="s">
        <v>463</v>
      </c>
      <c r="D195" s="89"/>
      <c r="E195" s="123">
        <f>SUM(E196)</f>
        <v>419149</v>
      </c>
      <c r="F195" s="123">
        <f t="shared" si="44"/>
        <v>300000</v>
      </c>
      <c r="G195" s="123">
        <f t="shared" si="44"/>
        <v>200000</v>
      </c>
    </row>
    <row r="196" spans="1:7" ht="45" x14ac:dyDescent="0.25">
      <c r="A196" s="90" t="s">
        <v>462</v>
      </c>
      <c r="B196" s="88" t="s">
        <v>100</v>
      </c>
      <c r="C196" s="88" t="s">
        <v>464</v>
      </c>
      <c r="D196" s="89"/>
      <c r="E196" s="123">
        <f>SUM(E197)</f>
        <v>419149</v>
      </c>
      <c r="F196" s="123">
        <f t="shared" si="44"/>
        <v>300000</v>
      </c>
      <c r="G196" s="123">
        <f t="shared" si="44"/>
        <v>200000</v>
      </c>
    </row>
    <row r="197" spans="1:7" ht="30" x14ac:dyDescent="0.25">
      <c r="A197" s="84" t="s">
        <v>74</v>
      </c>
      <c r="B197" s="88" t="s">
        <v>100</v>
      </c>
      <c r="C197" s="88" t="s">
        <v>464</v>
      </c>
      <c r="D197" s="89">
        <v>400</v>
      </c>
      <c r="E197" s="123">
        <f>SUM(6000+94000)+300000+19149</f>
        <v>419149</v>
      </c>
      <c r="F197" s="123">
        <f>SUM(18000+282000)</f>
        <v>300000</v>
      </c>
      <c r="G197" s="123">
        <f>12000+188000</f>
        <v>200000</v>
      </c>
    </row>
    <row r="198" spans="1:7" ht="30" x14ac:dyDescent="0.25">
      <c r="A198" s="84" t="s">
        <v>114</v>
      </c>
      <c r="B198" s="21" t="s">
        <v>100</v>
      </c>
      <c r="C198" s="78" t="s">
        <v>115</v>
      </c>
      <c r="D198" s="22"/>
      <c r="E198" s="59">
        <f>SUM(E199+E204)</f>
        <v>28699.4</v>
      </c>
      <c r="F198" s="59">
        <f t="shared" ref="F198:G198" si="45">SUM(F199+F204)</f>
        <v>13020.699999999999</v>
      </c>
      <c r="G198" s="59">
        <f t="shared" si="45"/>
        <v>12667.9</v>
      </c>
    </row>
    <row r="199" spans="1:7" ht="30" x14ac:dyDescent="0.25">
      <c r="A199" s="84" t="s">
        <v>116</v>
      </c>
      <c r="B199" s="21" t="s">
        <v>100</v>
      </c>
      <c r="C199" s="78" t="s">
        <v>117</v>
      </c>
      <c r="D199" s="22"/>
      <c r="E199" s="59">
        <f>E200+E202</f>
        <v>28554.100000000002</v>
      </c>
      <c r="F199" s="59">
        <f t="shared" ref="F199:G199" si="46">F200+F202</f>
        <v>12875.4</v>
      </c>
      <c r="G199" s="59">
        <f t="shared" si="46"/>
        <v>12617.9</v>
      </c>
    </row>
    <row r="200" spans="1:7" ht="45" x14ac:dyDescent="0.25">
      <c r="A200" s="84" t="s">
        <v>118</v>
      </c>
      <c r="B200" s="21" t="s">
        <v>100</v>
      </c>
      <c r="C200" s="78" t="s">
        <v>119</v>
      </c>
      <c r="D200" s="22"/>
      <c r="E200" s="59">
        <f>SUM(E201)</f>
        <v>1957.8</v>
      </c>
      <c r="F200" s="59">
        <f>SUM(F201)</f>
        <v>389.3</v>
      </c>
      <c r="G200" s="59">
        <f>SUM(G201)</f>
        <v>131.80000000000001</v>
      </c>
    </row>
    <row r="201" spans="1:7" ht="30" x14ac:dyDescent="0.25">
      <c r="A201" s="1" t="s">
        <v>21</v>
      </c>
      <c r="B201" s="21" t="s">
        <v>100</v>
      </c>
      <c r="C201" s="78" t="s">
        <v>119</v>
      </c>
      <c r="D201" s="22">
        <v>200</v>
      </c>
      <c r="E201" s="123">
        <v>1957.8</v>
      </c>
      <c r="F201" s="123">
        <v>389.3</v>
      </c>
      <c r="G201" s="123">
        <v>131.80000000000001</v>
      </c>
    </row>
    <row r="202" spans="1:7" ht="75" x14ac:dyDescent="0.25">
      <c r="A202" s="87" t="s">
        <v>465</v>
      </c>
      <c r="B202" s="88" t="s">
        <v>100</v>
      </c>
      <c r="C202" s="88" t="s">
        <v>466</v>
      </c>
      <c r="D202" s="89"/>
      <c r="E202" s="123">
        <f>SUM(E203)</f>
        <v>26596.300000000003</v>
      </c>
      <c r="F202" s="123">
        <f t="shared" ref="F202:G202" si="47">SUM(F203)</f>
        <v>12486.1</v>
      </c>
      <c r="G202" s="123">
        <f t="shared" si="47"/>
        <v>12486.1</v>
      </c>
    </row>
    <row r="203" spans="1:7" x14ac:dyDescent="0.25">
      <c r="A203" s="79" t="s">
        <v>22</v>
      </c>
      <c r="B203" s="88" t="s">
        <v>100</v>
      </c>
      <c r="C203" s="88" t="s">
        <v>466</v>
      </c>
      <c r="D203" s="89">
        <v>800</v>
      </c>
      <c r="E203" s="123">
        <f>9473.7+1122.6+16000</f>
        <v>26596.300000000003</v>
      </c>
      <c r="F203" s="123">
        <f>9473.7+275.5+2736.9</f>
        <v>12486.1</v>
      </c>
      <c r="G203" s="123">
        <f>9473.7+275.5+2736.9</f>
        <v>12486.1</v>
      </c>
    </row>
    <row r="204" spans="1:7" ht="30" x14ac:dyDescent="0.25">
      <c r="A204" s="23" t="s">
        <v>120</v>
      </c>
      <c r="B204" s="21" t="s">
        <v>100</v>
      </c>
      <c r="C204" s="21" t="s">
        <v>121</v>
      </c>
      <c r="D204" s="22"/>
      <c r="E204" s="123">
        <f>SUM(E205)</f>
        <v>145.30000000000001</v>
      </c>
      <c r="F204" s="123">
        <f t="shared" ref="F204:G205" si="48">SUM(F205)</f>
        <v>145.30000000000001</v>
      </c>
      <c r="G204" s="123">
        <f t="shared" si="48"/>
        <v>50</v>
      </c>
    </row>
    <row r="205" spans="1:7" ht="30" x14ac:dyDescent="0.25">
      <c r="A205" s="23" t="s">
        <v>122</v>
      </c>
      <c r="B205" s="21" t="s">
        <v>100</v>
      </c>
      <c r="C205" s="21" t="s">
        <v>123</v>
      </c>
      <c r="D205" s="22"/>
      <c r="E205" s="123">
        <f>SUM(E206)</f>
        <v>145.30000000000001</v>
      </c>
      <c r="F205" s="123">
        <f t="shared" si="48"/>
        <v>145.30000000000001</v>
      </c>
      <c r="G205" s="123">
        <f t="shared" si="48"/>
        <v>50</v>
      </c>
    </row>
    <row r="206" spans="1:7" ht="30" x14ac:dyDescent="0.25">
      <c r="A206" s="23" t="s">
        <v>56</v>
      </c>
      <c r="B206" s="21" t="s">
        <v>100</v>
      </c>
      <c r="C206" s="21" t="s">
        <v>123</v>
      </c>
      <c r="D206" s="22">
        <v>600</v>
      </c>
      <c r="E206" s="123">
        <v>145.30000000000001</v>
      </c>
      <c r="F206" s="123">
        <v>145.30000000000001</v>
      </c>
      <c r="G206" s="123">
        <v>50</v>
      </c>
    </row>
    <row r="207" spans="1:7" ht="50.25" customHeight="1" x14ac:dyDescent="0.25">
      <c r="A207" s="76" t="s">
        <v>467</v>
      </c>
      <c r="B207" s="21" t="s">
        <v>100</v>
      </c>
      <c r="C207" s="78" t="s">
        <v>101</v>
      </c>
      <c r="D207" s="85"/>
      <c r="E207" s="59">
        <f>SUM(E208+E211)</f>
        <v>17358.700000000004</v>
      </c>
      <c r="F207" s="59">
        <f>SUM(F208+F211)</f>
        <v>23957.500000000004</v>
      </c>
      <c r="G207" s="59">
        <f>SUM(G208+G211)</f>
        <v>667</v>
      </c>
    </row>
    <row r="208" spans="1:7" ht="30" x14ac:dyDescent="0.25">
      <c r="A208" s="76" t="s">
        <v>102</v>
      </c>
      <c r="B208" s="88" t="s">
        <v>100</v>
      </c>
      <c r="C208" s="88" t="s">
        <v>103</v>
      </c>
      <c r="D208" s="89"/>
      <c r="E208" s="123">
        <f>SUM(E209)</f>
        <v>804.4</v>
      </c>
      <c r="F208" s="123">
        <f t="shared" ref="F208:G209" si="49">SUM(F209)</f>
        <v>484.4</v>
      </c>
      <c r="G208" s="123">
        <f t="shared" si="49"/>
        <v>296.2</v>
      </c>
    </row>
    <row r="209" spans="1:7" ht="45" x14ac:dyDescent="0.25">
      <c r="A209" s="76" t="s">
        <v>104</v>
      </c>
      <c r="B209" s="88" t="s">
        <v>100</v>
      </c>
      <c r="C209" s="88" t="s">
        <v>105</v>
      </c>
      <c r="D209" s="89"/>
      <c r="E209" s="123">
        <f>SUM(E210)</f>
        <v>804.4</v>
      </c>
      <c r="F209" s="123">
        <f t="shared" si="49"/>
        <v>484.4</v>
      </c>
      <c r="G209" s="123">
        <f t="shared" si="49"/>
        <v>296.2</v>
      </c>
    </row>
    <row r="210" spans="1:7" ht="30" x14ac:dyDescent="0.25">
      <c r="A210" s="1" t="s">
        <v>21</v>
      </c>
      <c r="B210" s="88" t="s">
        <v>100</v>
      </c>
      <c r="C210" s="88" t="s">
        <v>105</v>
      </c>
      <c r="D210" s="89">
        <v>200</v>
      </c>
      <c r="E210" s="123">
        <v>804.4</v>
      </c>
      <c r="F210" s="123">
        <v>484.4</v>
      </c>
      <c r="G210" s="123">
        <v>296.2</v>
      </c>
    </row>
    <row r="211" spans="1:7" ht="30" x14ac:dyDescent="0.25">
      <c r="A211" s="84" t="s">
        <v>106</v>
      </c>
      <c r="B211" s="88" t="s">
        <v>100</v>
      </c>
      <c r="C211" s="88" t="s">
        <v>107</v>
      </c>
      <c r="D211" s="89"/>
      <c r="E211" s="123">
        <f>SUM(E212+E214+E216)</f>
        <v>16554.300000000003</v>
      </c>
      <c r="F211" s="123">
        <f t="shared" ref="F211:G211" si="50">SUM(F212+F214+F216)</f>
        <v>23473.100000000002</v>
      </c>
      <c r="G211" s="123">
        <f t="shared" si="50"/>
        <v>370.8</v>
      </c>
    </row>
    <row r="212" spans="1:7" ht="45" x14ac:dyDescent="0.25">
      <c r="A212" s="84" t="s">
        <v>108</v>
      </c>
      <c r="B212" s="88" t="s">
        <v>100</v>
      </c>
      <c r="C212" s="88" t="s">
        <v>109</v>
      </c>
      <c r="D212" s="89"/>
      <c r="E212" s="123">
        <f>SUM(E213)</f>
        <v>115.7</v>
      </c>
      <c r="F212" s="123">
        <f t="shared" ref="F212:G212" si="51">SUM(F213)</f>
        <v>115.7</v>
      </c>
      <c r="G212" s="123">
        <f t="shared" si="51"/>
        <v>70.8</v>
      </c>
    </row>
    <row r="213" spans="1:7" ht="30" x14ac:dyDescent="0.25">
      <c r="A213" s="1" t="s">
        <v>21</v>
      </c>
      <c r="B213" s="88" t="s">
        <v>100</v>
      </c>
      <c r="C213" s="88" t="s">
        <v>109</v>
      </c>
      <c r="D213" s="89">
        <v>200</v>
      </c>
      <c r="E213" s="123">
        <v>115.7</v>
      </c>
      <c r="F213" s="123">
        <v>115.7</v>
      </c>
      <c r="G213" s="123">
        <v>70.8</v>
      </c>
    </row>
    <row r="214" spans="1:7" ht="60" x14ac:dyDescent="0.25">
      <c r="A214" s="84" t="s">
        <v>110</v>
      </c>
      <c r="B214" s="21" t="s">
        <v>100</v>
      </c>
      <c r="C214" s="21" t="s">
        <v>111</v>
      </c>
      <c r="D214" s="22"/>
      <c r="E214" s="59">
        <f>SUM(E215)</f>
        <v>12862.6</v>
      </c>
      <c r="F214" s="59">
        <f>SUM(F215)</f>
        <v>23357.4</v>
      </c>
      <c r="G214" s="59">
        <f>SUM(G215)</f>
        <v>300</v>
      </c>
    </row>
    <row r="215" spans="1:7" ht="30" x14ac:dyDescent="0.25">
      <c r="A215" s="1" t="s">
        <v>21</v>
      </c>
      <c r="B215" s="21" t="s">
        <v>100</v>
      </c>
      <c r="C215" s="21" t="s">
        <v>111</v>
      </c>
      <c r="D215" s="22">
        <v>200</v>
      </c>
      <c r="E215" s="123">
        <v>12862.6</v>
      </c>
      <c r="F215" s="123">
        <v>23357.4</v>
      </c>
      <c r="G215" s="123">
        <v>300</v>
      </c>
    </row>
    <row r="216" spans="1:7" x14ac:dyDescent="0.25">
      <c r="A216" s="66" t="s">
        <v>468</v>
      </c>
      <c r="B216" s="88" t="s">
        <v>100</v>
      </c>
      <c r="C216" s="88" t="s">
        <v>469</v>
      </c>
      <c r="D216" s="89"/>
      <c r="E216" s="123">
        <f>SUM(E217)</f>
        <v>3576</v>
      </c>
      <c r="F216" s="123">
        <f t="shared" ref="F216:G216" si="52">SUM(F217)</f>
        <v>0</v>
      </c>
      <c r="G216" s="123">
        <f t="shared" si="52"/>
        <v>0</v>
      </c>
    </row>
    <row r="217" spans="1:7" ht="30" x14ac:dyDescent="0.25">
      <c r="A217" s="66" t="s">
        <v>21</v>
      </c>
      <c r="B217" s="88" t="s">
        <v>100</v>
      </c>
      <c r="C217" s="88" t="s">
        <v>469</v>
      </c>
      <c r="D217" s="89">
        <v>200</v>
      </c>
      <c r="E217" s="123">
        <f>14267.9-10691.9</f>
        <v>3576</v>
      </c>
      <c r="F217" s="123">
        <v>0</v>
      </c>
      <c r="G217" s="123">
        <v>0</v>
      </c>
    </row>
    <row r="218" spans="1:7" x14ac:dyDescent="0.25">
      <c r="A218" s="82" t="s">
        <v>124</v>
      </c>
      <c r="B218" s="24" t="s">
        <v>125</v>
      </c>
      <c r="C218" s="24"/>
      <c r="D218" s="25"/>
      <c r="E218" s="12">
        <f>E219+E257+E308+E328</f>
        <v>1299581.3999999999</v>
      </c>
      <c r="F218" s="12">
        <f>F219+F257+F308+F328</f>
        <v>1050195.3999999999</v>
      </c>
      <c r="G218" s="12">
        <f>G219+G257+G308+G328</f>
        <v>790404.99999999988</v>
      </c>
    </row>
    <row r="219" spans="1:7" x14ac:dyDescent="0.25">
      <c r="A219" s="82" t="s">
        <v>126</v>
      </c>
      <c r="B219" s="24" t="s">
        <v>127</v>
      </c>
      <c r="C219" s="24"/>
      <c r="D219" s="25"/>
      <c r="E219" s="12">
        <f>SUM(E239)+E220+E226</f>
        <v>264511.60000000003</v>
      </c>
      <c r="F219" s="12">
        <f>SUM(F239)+F220+F226</f>
        <v>28512</v>
      </c>
      <c r="G219" s="12">
        <f>SUM(G239)+G220+G226</f>
        <v>25081.499999999996</v>
      </c>
    </row>
    <row r="220" spans="1:7" x14ac:dyDescent="0.25">
      <c r="A220" s="92" t="s">
        <v>10</v>
      </c>
      <c r="B220" s="21" t="s">
        <v>127</v>
      </c>
      <c r="C220" s="21" t="s">
        <v>11</v>
      </c>
      <c r="D220" s="22"/>
      <c r="E220" s="59">
        <f>SUM(E224)+E222</f>
        <v>3119.5</v>
      </c>
      <c r="F220" s="59">
        <f t="shared" ref="F220:G220" si="53">SUM(F224)+F222</f>
        <v>1800</v>
      </c>
      <c r="G220" s="59">
        <f t="shared" si="53"/>
        <v>1800</v>
      </c>
    </row>
    <row r="221" spans="1:7" x14ac:dyDescent="0.25">
      <c r="A221" s="92" t="s">
        <v>587</v>
      </c>
      <c r="B221" s="21" t="s">
        <v>127</v>
      </c>
      <c r="C221" s="21" t="s">
        <v>588</v>
      </c>
      <c r="D221" s="22"/>
      <c r="E221" s="59">
        <f>SUM(E222)</f>
        <v>1319.5</v>
      </c>
      <c r="F221" s="59"/>
      <c r="G221" s="59"/>
    </row>
    <row r="222" spans="1:7" ht="74.25" customHeight="1" x14ac:dyDescent="0.25">
      <c r="A222" s="76" t="s">
        <v>602</v>
      </c>
      <c r="B222" s="88" t="s">
        <v>127</v>
      </c>
      <c r="C222" s="88" t="s">
        <v>603</v>
      </c>
      <c r="D222" s="89"/>
      <c r="E222" s="123">
        <f>SUM(E223)</f>
        <v>1319.5</v>
      </c>
      <c r="F222" s="123">
        <f t="shared" ref="F222:G222" si="54">SUM(F223)</f>
        <v>0</v>
      </c>
      <c r="G222" s="123">
        <f t="shared" si="54"/>
        <v>0</v>
      </c>
    </row>
    <row r="223" spans="1:7" x14ac:dyDescent="0.25">
      <c r="A223" s="84" t="s">
        <v>22</v>
      </c>
      <c r="B223" s="88" t="s">
        <v>127</v>
      </c>
      <c r="C223" s="143" t="s">
        <v>603</v>
      </c>
      <c r="D223" s="89">
        <v>800</v>
      </c>
      <c r="E223" s="123">
        <f>5300-3980.5</f>
        <v>1319.5</v>
      </c>
      <c r="F223" s="123">
        <v>0</v>
      </c>
      <c r="G223" s="123">
        <v>0</v>
      </c>
    </row>
    <row r="224" spans="1:7" ht="16.5" customHeight="1" x14ac:dyDescent="0.25">
      <c r="A224" s="92" t="s">
        <v>358</v>
      </c>
      <c r="B224" s="21" t="s">
        <v>127</v>
      </c>
      <c r="C224" s="21" t="s">
        <v>359</v>
      </c>
      <c r="D224" s="22"/>
      <c r="E224" s="59">
        <f t="shared" ref="E224:G224" si="55">SUM(E225)</f>
        <v>1800</v>
      </c>
      <c r="F224" s="59">
        <f t="shared" si="55"/>
        <v>1800</v>
      </c>
      <c r="G224" s="59">
        <f t="shared" si="55"/>
        <v>1800</v>
      </c>
    </row>
    <row r="225" spans="1:7" ht="30" x14ac:dyDescent="0.25">
      <c r="A225" s="23" t="s">
        <v>74</v>
      </c>
      <c r="B225" s="21" t="s">
        <v>127</v>
      </c>
      <c r="C225" s="21" t="s">
        <v>359</v>
      </c>
      <c r="D225" s="22">
        <v>400</v>
      </c>
      <c r="E225" s="123">
        <v>1800</v>
      </c>
      <c r="F225" s="123">
        <v>1800</v>
      </c>
      <c r="G225" s="123">
        <v>1800</v>
      </c>
    </row>
    <row r="226" spans="1:7" ht="30" x14ac:dyDescent="0.25">
      <c r="A226" s="76" t="s">
        <v>455</v>
      </c>
      <c r="B226" s="21" t="s">
        <v>127</v>
      </c>
      <c r="C226" s="78" t="s">
        <v>220</v>
      </c>
      <c r="D226" s="85"/>
      <c r="E226" s="59">
        <f>SUM(E235)+E227</f>
        <v>235424.80000000002</v>
      </c>
      <c r="F226" s="59">
        <f>SUM(F235)+F227</f>
        <v>1290.5999999999999</v>
      </c>
      <c r="G226" s="59">
        <f>SUM(G235)+G227</f>
        <v>789.3</v>
      </c>
    </row>
    <row r="227" spans="1:7" ht="30" x14ac:dyDescent="0.25">
      <c r="A227" s="76" t="s">
        <v>221</v>
      </c>
      <c r="B227" s="21" t="s">
        <v>127</v>
      </c>
      <c r="C227" s="78" t="s">
        <v>380</v>
      </c>
      <c r="D227" s="85"/>
      <c r="E227" s="59">
        <f>E228</f>
        <v>234066.7</v>
      </c>
      <c r="F227" s="59">
        <f t="shared" ref="F227:G227" si="56">F228</f>
        <v>432.5</v>
      </c>
      <c r="G227" s="59">
        <f t="shared" si="56"/>
        <v>264.5</v>
      </c>
    </row>
    <row r="228" spans="1:7" ht="30" x14ac:dyDescent="0.25">
      <c r="A228" s="126" t="s">
        <v>381</v>
      </c>
      <c r="B228" s="21" t="s">
        <v>127</v>
      </c>
      <c r="C228" s="78" t="s">
        <v>222</v>
      </c>
      <c r="D228" s="85"/>
      <c r="E228" s="59">
        <f>E229+E231+E233</f>
        <v>234066.7</v>
      </c>
      <c r="F228" s="59">
        <f t="shared" ref="F228:G228" si="57">F229+F231+F233</f>
        <v>432.5</v>
      </c>
      <c r="G228" s="59">
        <f t="shared" si="57"/>
        <v>264.5</v>
      </c>
    </row>
    <row r="229" spans="1:7" x14ac:dyDescent="0.25">
      <c r="A229" s="77" t="s">
        <v>223</v>
      </c>
      <c r="B229" s="78" t="s">
        <v>127</v>
      </c>
      <c r="C229" s="78" t="s">
        <v>224</v>
      </c>
      <c r="D229" s="85"/>
      <c r="E229" s="20">
        <f>E230</f>
        <v>2000</v>
      </c>
      <c r="F229" s="20">
        <f t="shared" ref="F229:G229" si="58">F230</f>
        <v>432.5</v>
      </c>
      <c r="G229" s="20">
        <f t="shared" si="58"/>
        <v>264.5</v>
      </c>
    </row>
    <row r="230" spans="1:7" ht="30" x14ac:dyDescent="0.25">
      <c r="A230" s="1" t="s">
        <v>21</v>
      </c>
      <c r="B230" s="78" t="s">
        <v>127</v>
      </c>
      <c r="C230" s="78" t="s">
        <v>224</v>
      </c>
      <c r="D230" s="85">
        <v>200</v>
      </c>
      <c r="E230" s="123">
        <v>2000</v>
      </c>
      <c r="F230" s="123">
        <v>432.5</v>
      </c>
      <c r="G230" s="123">
        <v>264.5</v>
      </c>
    </row>
    <row r="231" spans="1:7" ht="45" x14ac:dyDescent="0.25">
      <c r="A231" s="127" t="s">
        <v>471</v>
      </c>
      <c r="B231" s="88" t="s">
        <v>127</v>
      </c>
      <c r="C231" s="88" t="s">
        <v>472</v>
      </c>
      <c r="D231" s="89"/>
      <c r="E231" s="123">
        <f>SUM(E232)</f>
        <v>227466.7</v>
      </c>
      <c r="F231" s="123">
        <f t="shared" ref="F231:G231" si="59">SUM(F232)</f>
        <v>0</v>
      </c>
      <c r="G231" s="123">
        <f t="shared" si="59"/>
        <v>0</v>
      </c>
    </row>
    <row r="232" spans="1:7" ht="30" x14ac:dyDescent="0.25">
      <c r="A232" s="127" t="s">
        <v>74</v>
      </c>
      <c r="B232" s="88" t="s">
        <v>127</v>
      </c>
      <c r="C232" s="88" t="s">
        <v>472</v>
      </c>
      <c r="D232" s="89">
        <v>400</v>
      </c>
      <c r="E232" s="123">
        <v>227466.7</v>
      </c>
      <c r="F232" s="123">
        <v>0</v>
      </c>
      <c r="G232" s="123">
        <v>0</v>
      </c>
    </row>
    <row r="233" spans="1:7" ht="60" x14ac:dyDescent="0.25">
      <c r="A233" s="127" t="s">
        <v>473</v>
      </c>
      <c r="B233" s="88" t="s">
        <v>127</v>
      </c>
      <c r="C233" s="88" t="s">
        <v>474</v>
      </c>
      <c r="D233" s="89"/>
      <c r="E233" s="123">
        <f>SUM(E234)</f>
        <v>4600</v>
      </c>
      <c r="F233" s="123">
        <f t="shared" ref="F233:G233" si="60">SUM(F234)</f>
        <v>0</v>
      </c>
      <c r="G233" s="123">
        <f t="shared" si="60"/>
        <v>0</v>
      </c>
    </row>
    <row r="234" spans="1:7" ht="30" x14ac:dyDescent="0.25">
      <c r="A234" s="127" t="s">
        <v>74</v>
      </c>
      <c r="B234" s="88" t="s">
        <v>127</v>
      </c>
      <c r="C234" s="88" t="s">
        <v>474</v>
      </c>
      <c r="D234" s="89">
        <v>400</v>
      </c>
      <c r="E234" s="123">
        <v>4600</v>
      </c>
      <c r="F234" s="123">
        <v>0</v>
      </c>
      <c r="G234" s="123">
        <v>0</v>
      </c>
    </row>
    <row r="235" spans="1:7" ht="45" x14ac:dyDescent="0.25">
      <c r="A235" s="76" t="s">
        <v>456</v>
      </c>
      <c r="B235" s="21" t="s">
        <v>127</v>
      </c>
      <c r="C235" s="21" t="s">
        <v>360</v>
      </c>
      <c r="D235" s="22"/>
      <c r="E235" s="59">
        <f>SUM(E236)</f>
        <v>1358.1</v>
      </c>
      <c r="F235" s="59">
        <f t="shared" ref="F235:G237" si="61">SUM(F236)</f>
        <v>858.1</v>
      </c>
      <c r="G235" s="59">
        <f t="shared" si="61"/>
        <v>524.79999999999995</v>
      </c>
    </row>
    <row r="236" spans="1:7" ht="45" x14ac:dyDescent="0.25">
      <c r="A236" s="77" t="s">
        <v>361</v>
      </c>
      <c r="B236" s="21" t="s">
        <v>127</v>
      </c>
      <c r="C236" s="21" t="s">
        <v>362</v>
      </c>
      <c r="D236" s="22"/>
      <c r="E236" s="59">
        <f>SUM(E237)</f>
        <v>1358.1</v>
      </c>
      <c r="F236" s="59">
        <f t="shared" si="61"/>
        <v>858.1</v>
      </c>
      <c r="G236" s="59">
        <f t="shared" si="61"/>
        <v>524.79999999999995</v>
      </c>
    </row>
    <row r="237" spans="1:7" x14ac:dyDescent="0.25">
      <c r="A237" s="77" t="s">
        <v>363</v>
      </c>
      <c r="B237" s="21" t="s">
        <v>127</v>
      </c>
      <c r="C237" s="21" t="s">
        <v>364</v>
      </c>
      <c r="D237" s="22"/>
      <c r="E237" s="59">
        <f>SUM(E238)</f>
        <v>1358.1</v>
      </c>
      <c r="F237" s="59">
        <f t="shared" si="61"/>
        <v>858.1</v>
      </c>
      <c r="G237" s="59">
        <f t="shared" si="61"/>
        <v>524.79999999999995</v>
      </c>
    </row>
    <row r="238" spans="1:7" ht="30" x14ac:dyDescent="0.25">
      <c r="A238" s="79" t="s">
        <v>21</v>
      </c>
      <c r="B238" s="21" t="s">
        <v>127</v>
      </c>
      <c r="C238" s="21" t="s">
        <v>364</v>
      </c>
      <c r="D238" s="22">
        <v>200</v>
      </c>
      <c r="E238" s="123">
        <f>858.1+500</f>
        <v>1358.1</v>
      </c>
      <c r="F238" s="123">
        <v>858.1</v>
      </c>
      <c r="G238" s="123">
        <v>524.79999999999995</v>
      </c>
    </row>
    <row r="239" spans="1:7" ht="60" x14ac:dyDescent="0.25">
      <c r="A239" s="76" t="s">
        <v>457</v>
      </c>
      <c r="B239" s="21" t="s">
        <v>127</v>
      </c>
      <c r="C239" s="21" t="s">
        <v>94</v>
      </c>
      <c r="D239" s="22"/>
      <c r="E239" s="59">
        <f>E240+E251</f>
        <v>25967.3</v>
      </c>
      <c r="F239" s="59">
        <f>F240+F251</f>
        <v>25421.4</v>
      </c>
      <c r="G239" s="59">
        <f>G240+G251</f>
        <v>22492.199999999997</v>
      </c>
    </row>
    <row r="240" spans="1:7" ht="45" x14ac:dyDescent="0.25">
      <c r="A240" s="77" t="s">
        <v>128</v>
      </c>
      <c r="B240" s="21" t="s">
        <v>127</v>
      </c>
      <c r="C240" s="21" t="s">
        <v>129</v>
      </c>
      <c r="D240" s="22"/>
      <c r="E240" s="59">
        <f>E241+E246</f>
        <v>12253.9</v>
      </c>
      <c r="F240" s="59">
        <f>F241+F246</f>
        <v>11708</v>
      </c>
      <c r="G240" s="59">
        <f>G241+G246</f>
        <v>9366.6999999999989</v>
      </c>
    </row>
    <row r="241" spans="1:7" ht="30" x14ac:dyDescent="0.25">
      <c r="A241" s="86" t="s">
        <v>225</v>
      </c>
      <c r="B241" s="21" t="s">
        <v>127</v>
      </c>
      <c r="C241" s="21" t="s">
        <v>226</v>
      </c>
      <c r="D241" s="22"/>
      <c r="E241" s="59">
        <f>E244</f>
        <v>10118.4</v>
      </c>
      <c r="F241" s="59">
        <f t="shared" ref="F241:G241" si="62">F244</f>
        <v>10118.4</v>
      </c>
      <c r="G241" s="59">
        <f t="shared" si="62"/>
        <v>8906.7999999999993</v>
      </c>
    </row>
    <row r="242" spans="1:7" ht="45" x14ac:dyDescent="0.25">
      <c r="A242" s="77" t="s">
        <v>227</v>
      </c>
      <c r="B242" s="21" t="s">
        <v>127</v>
      </c>
      <c r="C242" s="21" t="s">
        <v>228</v>
      </c>
      <c r="D242" s="22"/>
      <c r="E242" s="59">
        <f>SUM(E243)</f>
        <v>0</v>
      </c>
      <c r="F242" s="59">
        <f>SUM(F243)</f>
        <v>0</v>
      </c>
      <c r="G242" s="59">
        <f>SUM(G243)</f>
        <v>0</v>
      </c>
    </row>
    <row r="243" spans="1:7" x14ac:dyDescent="0.25">
      <c r="A243" s="79" t="s">
        <v>22</v>
      </c>
      <c r="B243" s="21" t="s">
        <v>127</v>
      </c>
      <c r="C243" s="21" t="s">
        <v>228</v>
      </c>
      <c r="D243" s="22">
        <v>800</v>
      </c>
      <c r="E243" s="60">
        <v>0</v>
      </c>
      <c r="F243" s="60">
        <v>0</v>
      </c>
      <c r="G243" s="20">
        <v>0</v>
      </c>
    </row>
    <row r="244" spans="1:7" ht="75" x14ac:dyDescent="0.25">
      <c r="A244" s="76" t="s">
        <v>470</v>
      </c>
      <c r="B244" s="88" t="s">
        <v>127</v>
      </c>
      <c r="C244" s="88" t="s">
        <v>430</v>
      </c>
      <c r="D244" s="89"/>
      <c r="E244" s="60">
        <f>E245</f>
        <v>10118.4</v>
      </c>
      <c r="F244" s="60">
        <f t="shared" ref="F244:G244" si="63">F245</f>
        <v>10118.4</v>
      </c>
      <c r="G244" s="60">
        <f t="shared" si="63"/>
        <v>8906.7999999999993</v>
      </c>
    </row>
    <row r="245" spans="1:7" x14ac:dyDescent="0.25">
      <c r="A245" s="84" t="s">
        <v>22</v>
      </c>
      <c r="B245" s="88" t="s">
        <v>127</v>
      </c>
      <c r="C245" s="88" t="s">
        <v>430</v>
      </c>
      <c r="D245" s="89">
        <v>800</v>
      </c>
      <c r="E245" s="123">
        <v>10118.4</v>
      </c>
      <c r="F245" s="123">
        <v>10118.4</v>
      </c>
      <c r="G245" s="123">
        <v>8906.7999999999993</v>
      </c>
    </row>
    <row r="246" spans="1:7" ht="45" x14ac:dyDescent="0.25">
      <c r="A246" s="77" t="s">
        <v>130</v>
      </c>
      <c r="B246" s="78" t="s">
        <v>127</v>
      </c>
      <c r="C246" s="78" t="s">
        <v>131</v>
      </c>
      <c r="D246" s="85"/>
      <c r="E246" s="20">
        <f>E247+E249</f>
        <v>2135.5</v>
      </c>
      <c r="F246" s="20">
        <f>F247+F249</f>
        <v>1589.6000000000001</v>
      </c>
      <c r="G246" s="20">
        <f>G247+G249</f>
        <v>459.9</v>
      </c>
    </row>
    <row r="247" spans="1:7" ht="45" x14ac:dyDescent="0.25">
      <c r="A247" s="79" t="s">
        <v>132</v>
      </c>
      <c r="B247" s="78" t="s">
        <v>127</v>
      </c>
      <c r="C247" s="78" t="s">
        <v>133</v>
      </c>
      <c r="D247" s="85"/>
      <c r="E247" s="20">
        <f>E248</f>
        <v>227.7</v>
      </c>
      <c r="F247" s="20">
        <f>F248</f>
        <v>227.7</v>
      </c>
      <c r="G247" s="20">
        <f>G248</f>
        <v>139.19999999999999</v>
      </c>
    </row>
    <row r="248" spans="1:7" ht="30" x14ac:dyDescent="0.25">
      <c r="A248" s="1" t="s">
        <v>21</v>
      </c>
      <c r="B248" s="78" t="s">
        <v>127</v>
      </c>
      <c r="C248" s="78" t="s">
        <v>133</v>
      </c>
      <c r="D248" s="85">
        <v>200</v>
      </c>
      <c r="E248" s="123">
        <v>227.7</v>
      </c>
      <c r="F248" s="123">
        <v>227.7</v>
      </c>
      <c r="G248" s="123">
        <v>139.19999999999999</v>
      </c>
    </row>
    <row r="249" spans="1:7" ht="30" x14ac:dyDescent="0.25">
      <c r="A249" s="79" t="s">
        <v>229</v>
      </c>
      <c r="B249" s="78" t="s">
        <v>127</v>
      </c>
      <c r="C249" s="78" t="s">
        <v>230</v>
      </c>
      <c r="D249" s="85"/>
      <c r="E249" s="20">
        <f>E250</f>
        <v>1907.8</v>
      </c>
      <c r="F249" s="20">
        <f>F250</f>
        <v>1361.9</v>
      </c>
      <c r="G249" s="20">
        <f>G250</f>
        <v>320.7</v>
      </c>
    </row>
    <row r="250" spans="1:7" ht="30" x14ac:dyDescent="0.25">
      <c r="A250" s="1" t="s">
        <v>21</v>
      </c>
      <c r="B250" s="78" t="s">
        <v>127</v>
      </c>
      <c r="C250" s="78" t="s">
        <v>230</v>
      </c>
      <c r="D250" s="85">
        <v>200</v>
      </c>
      <c r="E250" s="123">
        <v>1907.8</v>
      </c>
      <c r="F250" s="123">
        <v>1361.9</v>
      </c>
      <c r="G250" s="123">
        <v>320.7</v>
      </c>
    </row>
    <row r="251" spans="1:7" ht="30" x14ac:dyDescent="0.25">
      <c r="A251" s="23" t="s">
        <v>134</v>
      </c>
      <c r="B251" s="21" t="s">
        <v>127</v>
      </c>
      <c r="C251" s="21" t="s">
        <v>135</v>
      </c>
      <c r="D251" s="22"/>
      <c r="E251" s="59">
        <f>E252</f>
        <v>13713.4</v>
      </c>
      <c r="F251" s="59">
        <f>F252</f>
        <v>13713.4</v>
      </c>
      <c r="G251" s="59">
        <f>G252</f>
        <v>13125.5</v>
      </c>
    </row>
    <row r="252" spans="1:7" ht="30" x14ac:dyDescent="0.25">
      <c r="A252" s="23" t="s">
        <v>136</v>
      </c>
      <c r="B252" s="21" t="s">
        <v>127</v>
      </c>
      <c r="C252" s="21" t="s">
        <v>137</v>
      </c>
      <c r="D252" s="22"/>
      <c r="E252" s="59">
        <f>E253+E255</f>
        <v>13713.4</v>
      </c>
      <c r="F252" s="59">
        <f>F253+F255</f>
        <v>13713.4</v>
      </c>
      <c r="G252" s="59">
        <f>G253+G255</f>
        <v>13125.5</v>
      </c>
    </row>
    <row r="253" spans="1:7" x14ac:dyDescent="0.25">
      <c r="A253" s="23" t="s">
        <v>591</v>
      </c>
      <c r="B253" s="21" t="s">
        <v>127</v>
      </c>
      <c r="C253" s="21" t="s">
        <v>138</v>
      </c>
      <c r="D253" s="22"/>
      <c r="E253" s="59">
        <f>SUM(E254)</f>
        <v>1513.4</v>
      </c>
      <c r="F253" s="59">
        <f>SUM(F254)</f>
        <v>1513.4</v>
      </c>
      <c r="G253" s="59">
        <f>SUM(G254)</f>
        <v>925.5</v>
      </c>
    </row>
    <row r="254" spans="1:7" ht="30" x14ac:dyDescent="0.25">
      <c r="A254" s="1" t="s">
        <v>21</v>
      </c>
      <c r="B254" s="21" t="s">
        <v>127</v>
      </c>
      <c r="C254" s="21" t="s">
        <v>138</v>
      </c>
      <c r="D254" s="22">
        <v>200</v>
      </c>
      <c r="E254" s="123">
        <v>1513.4</v>
      </c>
      <c r="F254" s="123">
        <v>1513.4</v>
      </c>
      <c r="G254" s="123">
        <v>925.5</v>
      </c>
    </row>
    <row r="255" spans="1:7" ht="45" x14ac:dyDescent="0.25">
      <c r="A255" s="23" t="s">
        <v>365</v>
      </c>
      <c r="B255" s="21" t="s">
        <v>127</v>
      </c>
      <c r="C255" s="21" t="s">
        <v>366</v>
      </c>
      <c r="D255" s="22"/>
      <c r="E255" s="59">
        <f>SUM(E256)</f>
        <v>12200</v>
      </c>
      <c r="F255" s="59">
        <f>SUM(F256)</f>
        <v>12200</v>
      </c>
      <c r="G255" s="59">
        <f>SUM(G256)</f>
        <v>12200</v>
      </c>
    </row>
    <row r="256" spans="1:7" ht="30" x14ac:dyDescent="0.25">
      <c r="A256" s="1" t="s">
        <v>21</v>
      </c>
      <c r="B256" s="21" t="s">
        <v>127</v>
      </c>
      <c r="C256" s="21" t="s">
        <v>366</v>
      </c>
      <c r="D256" s="22">
        <v>200</v>
      </c>
      <c r="E256" s="123">
        <v>12200</v>
      </c>
      <c r="F256" s="123">
        <v>12200</v>
      </c>
      <c r="G256" s="123">
        <v>12200</v>
      </c>
    </row>
    <row r="257" spans="1:7" x14ac:dyDescent="0.25">
      <c r="A257" s="82" t="s">
        <v>139</v>
      </c>
      <c r="B257" s="24" t="s">
        <v>140</v>
      </c>
      <c r="C257" s="24"/>
      <c r="D257" s="25"/>
      <c r="E257" s="12">
        <f>SUM(E258)</f>
        <v>522707.9</v>
      </c>
      <c r="F257" s="12">
        <f t="shared" ref="F257:G257" si="64">SUM(F258)</f>
        <v>554843.19999999995</v>
      </c>
      <c r="G257" s="12">
        <f t="shared" si="64"/>
        <v>351333.59999999992</v>
      </c>
    </row>
    <row r="258" spans="1:7" ht="51.75" customHeight="1" x14ac:dyDescent="0.25">
      <c r="A258" s="76" t="s">
        <v>457</v>
      </c>
      <c r="B258" s="21" t="s">
        <v>140</v>
      </c>
      <c r="C258" s="21" t="s">
        <v>94</v>
      </c>
      <c r="D258" s="22"/>
      <c r="E258" s="59">
        <f>SUM(E259)</f>
        <v>522707.9</v>
      </c>
      <c r="F258" s="59">
        <f>SUM(F259)</f>
        <v>554843.19999999995</v>
      </c>
      <c r="G258" s="59">
        <f>SUM(G259)</f>
        <v>351333.59999999992</v>
      </c>
    </row>
    <row r="259" spans="1:7" ht="45" x14ac:dyDescent="0.25">
      <c r="A259" s="94" t="s">
        <v>128</v>
      </c>
      <c r="B259" s="21" t="s">
        <v>140</v>
      </c>
      <c r="C259" s="21" t="s">
        <v>129</v>
      </c>
      <c r="D259" s="22"/>
      <c r="E259" s="59">
        <f>SUM(E266)+E300+E303+E260+E263+E269+E271</f>
        <v>522707.9</v>
      </c>
      <c r="F259" s="59">
        <f t="shared" ref="F259:G259" si="65">SUM(F266)+F300+F303+F260+F263+F269+F271</f>
        <v>554843.19999999995</v>
      </c>
      <c r="G259" s="59">
        <f t="shared" si="65"/>
        <v>351333.59999999992</v>
      </c>
    </row>
    <row r="260" spans="1:7" x14ac:dyDescent="0.25">
      <c r="A260" s="93" t="s">
        <v>543</v>
      </c>
      <c r="B260" s="88" t="s">
        <v>140</v>
      </c>
      <c r="C260" s="88" t="s">
        <v>545</v>
      </c>
      <c r="D260" s="89"/>
      <c r="E260" s="59">
        <f>E261</f>
        <v>0</v>
      </c>
      <c r="F260" s="59">
        <f t="shared" ref="F260:G261" si="66">F261</f>
        <v>121689.4</v>
      </c>
      <c r="G260" s="59">
        <f t="shared" si="66"/>
        <v>4390.1000000000004</v>
      </c>
    </row>
    <row r="261" spans="1:7" ht="30" x14ac:dyDescent="0.25">
      <c r="A261" s="136" t="s">
        <v>544</v>
      </c>
      <c r="B261" s="88" t="s">
        <v>140</v>
      </c>
      <c r="C261" s="88" t="s">
        <v>546</v>
      </c>
      <c r="D261" s="89"/>
      <c r="E261" s="59">
        <f>E262</f>
        <v>0</v>
      </c>
      <c r="F261" s="59">
        <f t="shared" si="66"/>
        <v>121689.4</v>
      </c>
      <c r="G261" s="59">
        <f t="shared" si="66"/>
        <v>4390.1000000000004</v>
      </c>
    </row>
    <row r="262" spans="1:7" ht="30" x14ac:dyDescent="0.25">
      <c r="A262" s="84" t="s">
        <v>74</v>
      </c>
      <c r="B262" s="88" t="s">
        <v>140</v>
      </c>
      <c r="C262" s="88" t="s">
        <v>546</v>
      </c>
      <c r="D262" s="89">
        <v>400</v>
      </c>
      <c r="E262" s="59">
        <v>0</v>
      </c>
      <c r="F262" s="123">
        <v>121689.4</v>
      </c>
      <c r="G262" s="123">
        <v>4390.1000000000004</v>
      </c>
    </row>
    <row r="263" spans="1:7" x14ac:dyDescent="0.25">
      <c r="A263" s="136" t="s">
        <v>547</v>
      </c>
      <c r="B263" s="88" t="s">
        <v>140</v>
      </c>
      <c r="C263" s="88" t="s">
        <v>548</v>
      </c>
      <c r="D263" s="89"/>
      <c r="E263" s="59">
        <f>E264</f>
        <v>205319.1</v>
      </c>
      <c r="F263" s="59">
        <f t="shared" ref="F263:G264" si="67">F264</f>
        <v>181491.3</v>
      </c>
      <c r="G263" s="59">
        <f t="shared" si="67"/>
        <v>0</v>
      </c>
    </row>
    <row r="264" spans="1:7" ht="75" x14ac:dyDescent="0.25">
      <c r="A264" s="90" t="s">
        <v>592</v>
      </c>
      <c r="B264" s="88" t="s">
        <v>140</v>
      </c>
      <c r="C264" s="88" t="s">
        <v>549</v>
      </c>
      <c r="D264" s="89"/>
      <c r="E264" s="59">
        <f>E265</f>
        <v>205319.1</v>
      </c>
      <c r="F264" s="59">
        <f t="shared" si="67"/>
        <v>181491.3</v>
      </c>
      <c r="G264" s="59">
        <f t="shared" si="67"/>
        <v>0</v>
      </c>
    </row>
    <row r="265" spans="1:7" ht="30" x14ac:dyDescent="0.25">
      <c r="A265" s="84" t="s">
        <v>74</v>
      </c>
      <c r="B265" s="88" t="s">
        <v>140</v>
      </c>
      <c r="C265" s="88" t="s">
        <v>549</v>
      </c>
      <c r="D265" s="89">
        <v>400</v>
      </c>
      <c r="E265" s="59">
        <f>12319.1+193000</f>
        <v>205319.1</v>
      </c>
      <c r="F265" s="123">
        <v>181491.3</v>
      </c>
      <c r="G265" s="59">
        <v>0</v>
      </c>
    </row>
    <row r="266" spans="1:7" ht="30" x14ac:dyDescent="0.25">
      <c r="A266" s="94" t="s">
        <v>141</v>
      </c>
      <c r="B266" s="21" t="s">
        <v>140</v>
      </c>
      <c r="C266" s="21" t="s">
        <v>142</v>
      </c>
      <c r="D266" s="22"/>
      <c r="E266" s="59">
        <f>E268+E278+E280+E282+E284+E286+E288+E290+E274+E292+E297+E275+E293+E295</f>
        <v>280909.3</v>
      </c>
      <c r="F266" s="59">
        <f t="shared" ref="F266:G266" si="68">F268+F278+F280+F282+F284+F286+F288+F290+F274+F292+F297+F275+F293+F295</f>
        <v>243206.69999999998</v>
      </c>
      <c r="G266" s="59">
        <f t="shared" si="68"/>
        <v>341733.39999999997</v>
      </c>
    </row>
    <row r="267" spans="1:7" ht="30" x14ac:dyDescent="0.25">
      <c r="A267" s="95" t="s">
        <v>396</v>
      </c>
      <c r="B267" s="88" t="s">
        <v>140</v>
      </c>
      <c r="C267" s="88" t="s">
        <v>397</v>
      </c>
      <c r="D267" s="89"/>
      <c r="E267" s="59">
        <f>SUM(E268)</f>
        <v>2000</v>
      </c>
      <c r="F267" s="59">
        <f>SUM(F268)</f>
        <v>2000</v>
      </c>
      <c r="G267" s="59">
        <f>SUM(G268)</f>
        <v>2000</v>
      </c>
    </row>
    <row r="268" spans="1:7" ht="30" x14ac:dyDescent="0.25">
      <c r="A268" s="1" t="s">
        <v>21</v>
      </c>
      <c r="B268" s="88" t="s">
        <v>140</v>
      </c>
      <c r="C268" s="88" t="s">
        <v>397</v>
      </c>
      <c r="D268" s="89">
        <v>200</v>
      </c>
      <c r="E268" s="123">
        <v>2000</v>
      </c>
      <c r="F268" s="123">
        <v>2000</v>
      </c>
      <c r="G268" s="123">
        <v>2000</v>
      </c>
    </row>
    <row r="269" spans="1:7" ht="30" x14ac:dyDescent="0.25">
      <c r="A269" s="1" t="s">
        <v>589</v>
      </c>
      <c r="B269" s="88" t="s">
        <v>140</v>
      </c>
      <c r="C269" s="88" t="s">
        <v>582</v>
      </c>
      <c r="D269" s="89"/>
      <c r="E269" s="123">
        <f>SUM(E270)</f>
        <v>10000</v>
      </c>
      <c r="F269" s="123">
        <f t="shared" ref="F269:G269" si="69">SUM(F270)</f>
        <v>0</v>
      </c>
      <c r="G269" s="123">
        <f t="shared" si="69"/>
        <v>0</v>
      </c>
    </row>
    <row r="270" spans="1:7" ht="31.5" customHeight="1" x14ac:dyDescent="0.25">
      <c r="A270" s="1" t="s">
        <v>21</v>
      </c>
      <c r="B270" s="88" t="s">
        <v>140</v>
      </c>
      <c r="C270" s="88" t="s">
        <v>582</v>
      </c>
      <c r="D270" s="89">
        <v>200</v>
      </c>
      <c r="E270" s="123">
        <v>10000</v>
      </c>
      <c r="F270" s="123"/>
      <c r="G270" s="123"/>
    </row>
    <row r="271" spans="1:7" ht="31.5" customHeight="1" x14ac:dyDescent="0.25">
      <c r="A271" s="144" t="s">
        <v>601</v>
      </c>
      <c r="B271" s="88" t="s">
        <v>140</v>
      </c>
      <c r="C271" s="88" t="s">
        <v>583</v>
      </c>
      <c r="D271" s="89"/>
      <c r="E271" s="123">
        <f>SUM(E272)</f>
        <v>10000</v>
      </c>
      <c r="F271" s="123">
        <f t="shared" ref="F271:G271" si="70">SUM(F272)</f>
        <v>0</v>
      </c>
      <c r="G271" s="123">
        <f t="shared" si="70"/>
        <v>0</v>
      </c>
    </row>
    <row r="272" spans="1:7" ht="31.5" customHeight="1" x14ac:dyDescent="0.25">
      <c r="A272" s="1" t="s">
        <v>21</v>
      </c>
      <c r="B272" s="88" t="s">
        <v>140</v>
      </c>
      <c r="C272" s="88" t="s">
        <v>583</v>
      </c>
      <c r="D272" s="89">
        <v>200</v>
      </c>
      <c r="E272" s="123">
        <v>10000</v>
      </c>
      <c r="F272" s="123"/>
      <c r="G272" s="123"/>
    </row>
    <row r="273" spans="1:7" ht="75" x14ac:dyDescent="0.25">
      <c r="A273" s="128" t="s">
        <v>483</v>
      </c>
      <c r="B273" s="21" t="s">
        <v>140</v>
      </c>
      <c r="C273" s="21" t="s">
        <v>484</v>
      </c>
      <c r="D273" s="89"/>
      <c r="E273" s="123">
        <f>SUM(E274)</f>
        <v>23582</v>
      </c>
      <c r="F273" s="123">
        <f t="shared" ref="F273:G273" si="71">SUM(F274)</f>
        <v>0</v>
      </c>
      <c r="G273" s="123">
        <f t="shared" si="71"/>
        <v>0</v>
      </c>
    </row>
    <row r="274" spans="1:7" ht="30" x14ac:dyDescent="0.25">
      <c r="A274" s="66" t="s">
        <v>21</v>
      </c>
      <c r="B274" s="21" t="s">
        <v>140</v>
      </c>
      <c r="C274" s="21" t="s">
        <v>484</v>
      </c>
      <c r="D274" s="89">
        <v>200</v>
      </c>
      <c r="E274" s="123">
        <f>10000+13582</f>
        <v>23582</v>
      </c>
      <c r="F274" s="123">
        <f>10000-10000</f>
        <v>0</v>
      </c>
      <c r="G274" s="123">
        <f>10000-10000</f>
        <v>0</v>
      </c>
    </row>
    <row r="275" spans="1:7" ht="30" x14ac:dyDescent="0.25">
      <c r="A275" s="136" t="s">
        <v>569</v>
      </c>
      <c r="B275" s="21" t="s">
        <v>140</v>
      </c>
      <c r="C275" s="21" t="s">
        <v>570</v>
      </c>
      <c r="D275" s="89"/>
      <c r="E275" s="123">
        <f>E276</f>
        <v>0</v>
      </c>
      <c r="F275" s="123">
        <f t="shared" ref="F275:G275" si="72">F276</f>
        <v>15000</v>
      </c>
      <c r="G275" s="123">
        <f t="shared" si="72"/>
        <v>0</v>
      </c>
    </row>
    <row r="276" spans="1:7" ht="30" x14ac:dyDescent="0.25">
      <c r="A276" s="84" t="s">
        <v>74</v>
      </c>
      <c r="B276" s="21" t="s">
        <v>140</v>
      </c>
      <c r="C276" s="21" t="s">
        <v>570</v>
      </c>
      <c r="D276" s="89">
        <v>400</v>
      </c>
      <c r="E276" s="123">
        <v>0</v>
      </c>
      <c r="F276" s="123">
        <v>15000</v>
      </c>
      <c r="G276" s="123">
        <v>0</v>
      </c>
    </row>
    <row r="277" spans="1:7" x14ac:dyDescent="0.25">
      <c r="A277" s="93" t="s">
        <v>420</v>
      </c>
      <c r="B277" s="88" t="s">
        <v>140</v>
      </c>
      <c r="C277" s="88" t="s">
        <v>421</v>
      </c>
      <c r="D277" s="89"/>
      <c r="E277" s="60">
        <f>SUM(E278)</f>
        <v>13000</v>
      </c>
      <c r="F277" s="60">
        <f t="shared" ref="F277:G277" si="73">SUM(F278)</f>
        <v>0</v>
      </c>
      <c r="G277" s="60">
        <f t="shared" si="73"/>
        <v>0</v>
      </c>
    </row>
    <row r="278" spans="1:7" ht="30" x14ac:dyDescent="0.25">
      <c r="A278" s="84" t="s">
        <v>74</v>
      </c>
      <c r="B278" s="88" t="s">
        <v>140</v>
      </c>
      <c r="C278" s="88" t="s">
        <v>421</v>
      </c>
      <c r="D278" s="89">
        <v>400</v>
      </c>
      <c r="E278" s="123">
        <v>13000</v>
      </c>
      <c r="F278" s="123">
        <v>0</v>
      </c>
      <c r="G278" s="123">
        <v>0</v>
      </c>
    </row>
    <row r="279" spans="1:7" ht="30" x14ac:dyDescent="0.25">
      <c r="A279" s="26" t="s">
        <v>593</v>
      </c>
      <c r="B279" s="21" t="s">
        <v>140</v>
      </c>
      <c r="C279" s="21" t="s">
        <v>422</v>
      </c>
      <c r="D279" s="22"/>
      <c r="E279" s="123">
        <f>SUM(E280)</f>
        <v>10000</v>
      </c>
      <c r="F279" s="123">
        <f t="shared" ref="F279:G279" si="74">SUM(F280)</f>
        <v>20000</v>
      </c>
      <c r="G279" s="123">
        <f t="shared" si="74"/>
        <v>29860</v>
      </c>
    </row>
    <row r="280" spans="1:7" ht="30" x14ac:dyDescent="0.25">
      <c r="A280" s="26" t="s">
        <v>74</v>
      </c>
      <c r="B280" s="21" t="s">
        <v>140</v>
      </c>
      <c r="C280" s="21" t="s">
        <v>422</v>
      </c>
      <c r="D280" s="22">
        <v>400</v>
      </c>
      <c r="E280" s="123">
        <v>10000</v>
      </c>
      <c r="F280" s="123">
        <v>20000</v>
      </c>
      <c r="G280" s="123">
        <v>29860</v>
      </c>
    </row>
    <row r="281" spans="1:7" ht="30" x14ac:dyDescent="0.25">
      <c r="A281" s="96" t="s">
        <v>485</v>
      </c>
      <c r="B281" s="21" t="s">
        <v>140</v>
      </c>
      <c r="C281" s="21" t="s">
        <v>399</v>
      </c>
      <c r="D281" s="22"/>
      <c r="E281" s="123">
        <f>SUM(E282)</f>
        <v>4243</v>
      </c>
      <c r="F281" s="123">
        <f t="shared" ref="F281:G281" si="75">SUM(F282)</f>
        <v>10000</v>
      </c>
      <c r="G281" s="123">
        <f t="shared" si="75"/>
        <v>35000</v>
      </c>
    </row>
    <row r="282" spans="1:7" ht="30" x14ac:dyDescent="0.25">
      <c r="A282" s="26" t="s">
        <v>74</v>
      </c>
      <c r="B282" s="21" t="s">
        <v>140</v>
      </c>
      <c r="C282" s="21" t="s">
        <v>399</v>
      </c>
      <c r="D282" s="22">
        <v>400</v>
      </c>
      <c r="E282" s="123">
        <v>4243</v>
      </c>
      <c r="F282" s="123">
        <v>10000</v>
      </c>
      <c r="G282" s="123">
        <v>35000</v>
      </c>
    </row>
    <row r="283" spans="1:7" ht="30" x14ac:dyDescent="0.25">
      <c r="A283" s="26" t="s">
        <v>594</v>
      </c>
      <c r="B283" s="21" t="s">
        <v>140</v>
      </c>
      <c r="C283" s="21" t="s">
        <v>423</v>
      </c>
      <c r="D283" s="22"/>
      <c r="E283" s="123">
        <f>SUM(E284)</f>
        <v>2800</v>
      </c>
      <c r="F283" s="123">
        <f t="shared" ref="F283:G283" si="76">SUM(F284)</f>
        <v>3400</v>
      </c>
      <c r="G283" s="123">
        <f t="shared" si="76"/>
        <v>15000</v>
      </c>
    </row>
    <row r="284" spans="1:7" ht="30" x14ac:dyDescent="0.25">
      <c r="A284" s="26" t="s">
        <v>74</v>
      </c>
      <c r="B284" s="21" t="s">
        <v>140</v>
      </c>
      <c r="C284" s="21" t="s">
        <v>423</v>
      </c>
      <c r="D284" s="22">
        <v>400</v>
      </c>
      <c r="E284" s="123">
        <v>2800</v>
      </c>
      <c r="F284" s="123">
        <v>3400</v>
      </c>
      <c r="G284" s="123">
        <v>15000</v>
      </c>
    </row>
    <row r="285" spans="1:7" x14ac:dyDescent="0.25">
      <c r="A285" s="26" t="s">
        <v>595</v>
      </c>
      <c r="B285" s="21" t="s">
        <v>140</v>
      </c>
      <c r="C285" s="21" t="s">
        <v>424</v>
      </c>
      <c r="D285" s="22"/>
      <c r="E285" s="123">
        <f>SUM(E286)</f>
        <v>2000</v>
      </c>
      <c r="F285" s="123">
        <f t="shared" ref="F285:G285" si="77">SUM(F286)</f>
        <v>0</v>
      </c>
      <c r="G285" s="123">
        <f t="shared" si="77"/>
        <v>0</v>
      </c>
    </row>
    <row r="286" spans="1:7" ht="30" x14ac:dyDescent="0.25">
      <c r="A286" s="66" t="s">
        <v>21</v>
      </c>
      <c r="B286" s="21" t="s">
        <v>140</v>
      </c>
      <c r="C286" s="21" t="s">
        <v>424</v>
      </c>
      <c r="D286" s="22">
        <v>200</v>
      </c>
      <c r="E286" s="123">
        <v>2000</v>
      </c>
      <c r="F286" s="123">
        <v>0</v>
      </c>
      <c r="G286" s="123">
        <v>0</v>
      </c>
    </row>
    <row r="287" spans="1:7" ht="35.25" customHeight="1" x14ac:dyDescent="0.25">
      <c r="A287" s="26" t="s">
        <v>486</v>
      </c>
      <c r="B287" s="21" t="s">
        <v>140</v>
      </c>
      <c r="C287" s="21" t="s">
        <v>487</v>
      </c>
      <c r="D287" s="22"/>
      <c r="E287" s="123">
        <f>SUM(E288)</f>
        <v>1179</v>
      </c>
      <c r="F287" s="123">
        <f t="shared" ref="F287:G287" si="78">SUM(F288)</f>
        <v>12000</v>
      </c>
      <c r="G287" s="123">
        <f t="shared" si="78"/>
        <v>0</v>
      </c>
    </row>
    <row r="288" spans="1:7" ht="30" x14ac:dyDescent="0.25">
      <c r="A288" s="66" t="s">
        <v>21</v>
      </c>
      <c r="B288" s="21" t="s">
        <v>140</v>
      </c>
      <c r="C288" s="21" t="s">
        <v>487</v>
      </c>
      <c r="D288" s="22">
        <v>200</v>
      </c>
      <c r="E288" s="123">
        <v>1179</v>
      </c>
      <c r="F288" s="123">
        <v>12000</v>
      </c>
      <c r="G288" s="123">
        <v>0</v>
      </c>
    </row>
    <row r="289" spans="1:7" ht="45" x14ac:dyDescent="0.25">
      <c r="A289" s="26" t="s">
        <v>488</v>
      </c>
      <c r="B289" s="21" t="s">
        <v>140</v>
      </c>
      <c r="C289" s="21" t="s">
        <v>489</v>
      </c>
      <c r="D289" s="22"/>
      <c r="E289" s="123">
        <f>SUM(E290)</f>
        <v>58078.1</v>
      </c>
      <c r="F289" s="123">
        <f t="shared" ref="F289:G289" si="79">SUM(F290)</f>
        <v>35279.5</v>
      </c>
      <c r="G289" s="123">
        <f t="shared" si="79"/>
        <v>113996.8</v>
      </c>
    </row>
    <row r="290" spans="1:7" ht="30" x14ac:dyDescent="0.25">
      <c r="A290" s="66" t="s">
        <v>21</v>
      </c>
      <c r="B290" s="21" t="s">
        <v>140</v>
      </c>
      <c r="C290" s="21" t="s">
        <v>489</v>
      </c>
      <c r="D290" s="22">
        <v>200</v>
      </c>
      <c r="E290" s="123">
        <f>58078.1-10000+10000</f>
        <v>58078.1</v>
      </c>
      <c r="F290" s="123">
        <v>35279.5</v>
      </c>
      <c r="G290" s="123">
        <v>113996.8</v>
      </c>
    </row>
    <row r="291" spans="1:7" ht="30" customHeight="1" x14ac:dyDescent="0.25">
      <c r="A291" s="26" t="s">
        <v>596</v>
      </c>
      <c r="B291" s="21" t="s">
        <v>140</v>
      </c>
      <c r="C291" s="21" t="s">
        <v>490</v>
      </c>
      <c r="D291" s="22"/>
      <c r="E291" s="123">
        <f>SUM(E292)</f>
        <v>8500</v>
      </c>
      <c r="F291" s="123">
        <f t="shared" ref="F291:G291" si="80">SUM(F292)</f>
        <v>0</v>
      </c>
      <c r="G291" s="123">
        <f t="shared" si="80"/>
        <v>349.4</v>
      </c>
    </row>
    <row r="292" spans="1:7" ht="30" x14ac:dyDescent="0.25">
      <c r="A292" s="26" t="s">
        <v>74</v>
      </c>
      <c r="B292" s="21" t="s">
        <v>140</v>
      </c>
      <c r="C292" s="21" t="s">
        <v>490</v>
      </c>
      <c r="D292" s="22">
        <v>400</v>
      </c>
      <c r="E292" s="123">
        <v>8500</v>
      </c>
      <c r="F292" s="123">
        <v>0</v>
      </c>
      <c r="G292" s="123">
        <v>349.4</v>
      </c>
    </row>
    <row r="293" spans="1:7" ht="45" x14ac:dyDescent="0.25">
      <c r="A293" s="142" t="s">
        <v>577</v>
      </c>
      <c r="B293" s="21" t="s">
        <v>140</v>
      </c>
      <c r="C293" s="21" t="s">
        <v>578</v>
      </c>
      <c r="D293" s="22"/>
      <c r="E293" s="123">
        <f>SUM(E294)</f>
        <v>2000</v>
      </c>
      <c r="F293" s="123">
        <f t="shared" ref="F293:G293" si="81">SUM(F294)</f>
        <v>0</v>
      </c>
      <c r="G293" s="123">
        <f t="shared" si="81"/>
        <v>0</v>
      </c>
    </row>
    <row r="294" spans="1:7" ht="30" x14ac:dyDescent="0.25">
      <c r="A294" s="26" t="s">
        <v>74</v>
      </c>
      <c r="B294" s="21" t="s">
        <v>140</v>
      </c>
      <c r="C294" s="21" t="s">
        <v>578</v>
      </c>
      <c r="D294" s="22">
        <v>400</v>
      </c>
      <c r="E294" s="123">
        <v>2000</v>
      </c>
      <c r="F294" s="123">
        <v>0</v>
      </c>
      <c r="G294" s="123">
        <v>0</v>
      </c>
    </row>
    <row r="295" spans="1:7" ht="45" x14ac:dyDescent="0.25">
      <c r="A295" s="142" t="s">
        <v>597</v>
      </c>
      <c r="B295" s="21" t="s">
        <v>140</v>
      </c>
      <c r="C295" s="21" t="s">
        <v>579</v>
      </c>
      <c r="D295" s="22"/>
      <c r="E295" s="123">
        <f>E296</f>
        <v>8000</v>
      </c>
      <c r="F295" s="123">
        <f t="shared" ref="F295:G295" si="82">F296</f>
        <v>0</v>
      </c>
      <c r="G295" s="123">
        <f t="shared" si="82"/>
        <v>0</v>
      </c>
    </row>
    <row r="296" spans="1:7" ht="30" x14ac:dyDescent="0.25">
      <c r="A296" s="26" t="s">
        <v>74</v>
      </c>
      <c r="B296" s="21" t="s">
        <v>140</v>
      </c>
      <c r="C296" s="21" t="s">
        <v>579</v>
      </c>
      <c r="D296" s="22">
        <v>400</v>
      </c>
      <c r="E296" s="123">
        <v>8000</v>
      </c>
      <c r="F296" s="123">
        <v>0</v>
      </c>
      <c r="G296" s="123">
        <v>0</v>
      </c>
    </row>
    <row r="297" spans="1:7" ht="126.75" customHeight="1" x14ac:dyDescent="0.25">
      <c r="A297" s="84" t="s">
        <v>476</v>
      </c>
      <c r="B297" s="88" t="s">
        <v>140</v>
      </c>
      <c r="C297" s="88" t="s">
        <v>477</v>
      </c>
      <c r="D297" s="89"/>
      <c r="E297" s="123">
        <f>SUM(E298:E299)</f>
        <v>145527.19999999998</v>
      </c>
      <c r="F297" s="123">
        <f>SUM(F298:F299)</f>
        <v>145527.19999999998</v>
      </c>
      <c r="G297" s="123">
        <f>SUM(G298:G299)</f>
        <v>145527.19999999998</v>
      </c>
    </row>
    <row r="298" spans="1:7" ht="30" x14ac:dyDescent="0.25">
      <c r="A298" s="66" t="s">
        <v>21</v>
      </c>
      <c r="B298" s="88" t="s">
        <v>140</v>
      </c>
      <c r="C298" s="88" t="s">
        <v>477</v>
      </c>
      <c r="D298" s="89">
        <v>200</v>
      </c>
      <c r="E298" s="123">
        <v>44.9</v>
      </c>
      <c r="F298" s="123">
        <v>44.9</v>
      </c>
      <c r="G298" s="123">
        <v>44.9</v>
      </c>
    </row>
    <row r="299" spans="1:7" x14ac:dyDescent="0.25">
      <c r="A299" s="84" t="s">
        <v>22</v>
      </c>
      <c r="B299" s="88" t="s">
        <v>140</v>
      </c>
      <c r="C299" s="88" t="s">
        <v>477</v>
      </c>
      <c r="D299" s="89">
        <v>800</v>
      </c>
      <c r="E299" s="123">
        <v>145482.29999999999</v>
      </c>
      <c r="F299" s="123">
        <v>145482.29999999999</v>
      </c>
      <c r="G299" s="123">
        <v>145482.29999999999</v>
      </c>
    </row>
    <row r="300" spans="1:7" ht="30" x14ac:dyDescent="0.25">
      <c r="A300" s="94" t="s">
        <v>225</v>
      </c>
      <c r="B300" s="21" t="s">
        <v>140</v>
      </c>
      <c r="C300" s="21" t="s">
        <v>226</v>
      </c>
      <c r="D300" s="22"/>
      <c r="E300" s="59">
        <f>SUM(E301)</f>
        <v>6521.7</v>
      </c>
      <c r="F300" s="59">
        <f t="shared" ref="F300:G300" si="83">SUM(F301)</f>
        <v>8355.7999999999993</v>
      </c>
      <c r="G300" s="59">
        <f t="shared" si="83"/>
        <v>5110.1000000000004</v>
      </c>
    </row>
    <row r="301" spans="1:7" ht="60" x14ac:dyDescent="0.25">
      <c r="A301" s="76" t="s">
        <v>478</v>
      </c>
      <c r="B301" s="88" t="s">
        <v>140</v>
      </c>
      <c r="C301" s="88" t="s">
        <v>434</v>
      </c>
      <c r="D301" s="89"/>
      <c r="E301" s="123">
        <f>SUM(E302)</f>
        <v>6521.7</v>
      </c>
      <c r="F301" s="123">
        <f t="shared" ref="F301:G301" si="84">SUM(F302)</f>
        <v>8355.7999999999993</v>
      </c>
      <c r="G301" s="123">
        <f t="shared" si="84"/>
        <v>5110.1000000000004</v>
      </c>
    </row>
    <row r="302" spans="1:7" x14ac:dyDescent="0.25">
      <c r="A302" s="23" t="s">
        <v>22</v>
      </c>
      <c r="B302" s="88" t="s">
        <v>140</v>
      </c>
      <c r="C302" s="88" t="s">
        <v>434</v>
      </c>
      <c r="D302" s="89">
        <v>800</v>
      </c>
      <c r="E302" s="123">
        <v>6521.7</v>
      </c>
      <c r="F302" s="123">
        <v>8355.7999999999993</v>
      </c>
      <c r="G302" s="123">
        <v>5110.1000000000004</v>
      </c>
    </row>
    <row r="303" spans="1:7" ht="45" x14ac:dyDescent="0.25">
      <c r="A303" s="90" t="s">
        <v>130</v>
      </c>
      <c r="B303" s="88" t="s">
        <v>140</v>
      </c>
      <c r="C303" s="88" t="s">
        <v>131</v>
      </c>
      <c r="D303" s="89"/>
      <c r="E303" s="123">
        <f>SUM(E304+E306)</f>
        <v>9957.7999999999993</v>
      </c>
      <c r="F303" s="123">
        <f t="shared" ref="F303:G303" si="85">SUM(F304+F306)</f>
        <v>100</v>
      </c>
      <c r="G303" s="123">
        <f t="shared" si="85"/>
        <v>100</v>
      </c>
    </row>
    <row r="304" spans="1:7" ht="30" x14ac:dyDescent="0.25">
      <c r="A304" s="90" t="s">
        <v>479</v>
      </c>
      <c r="B304" s="88" t="s">
        <v>140</v>
      </c>
      <c r="C304" s="88" t="s">
        <v>481</v>
      </c>
      <c r="D304" s="89"/>
      <c r="E304" s="123">
        <f>SUM(E305)</f>
        <v>100</v>
      </c>
      <c r="F304" s="123">
        <f t="shared" ref="F304:G304" si="86">SUM(F305)</f>
        <v>100</v>
      </c>
      <c r="G304" s="123">
        <f t="shared" si="86"/>
        <v>100</v>
      </c>
    </row>
    <row r="305" spans="1:7" ht="30" x14ac:dyDescent="0.25">
      <c r="A305" s="66" t="s">
        <v>21</v>
      </c>
      <c r="B305" s="88" t="s">
        <v>140</v>
      </c>
      <c r="C305" s="88" t="s">
        <v>481</v>
      </c>
      <c r="D305" s="89">
        <v>200</v>
      </c>
      <c r="E305" s="123">
        <v>100</v>
      </c>
      <c r="F305" s="123">
        <v>100</v>
      </c>
      <c r="G305" s="123">
        <v>100</v>
      </c>
    </row>
    <row r="306" spans="1:7" ht="30" x14ac:dyDescent="0.25">
      <c r="A306" s="66" t="s">
        <v>480</v>
      </c>
      <c r="B306" s="88" t="s">
        <v>140</v>
      </c>
      <c r="C306" s="88" t="s">
        <v>482</v>
      </c>
      <c r="D306" s="89"/>
      <c r="E306" s="123">
        <f>SUM(E307)</f>
        <v>9857.7999999999993</v>
      </c>
      <c r="F306" s="123">
        <f t="shared" ref="F306:G306" si="87">SUM(F307)</f>
        <v>0</v>
      </c>
      <c r="G306" s="123">
        <f t="shared" si="87"/>
        <v>0</v>
      </c>
    </row>
    <row r="307" spans="1:7" ht="30" x14ac:dyDescent="0.25">
      <c r="A307" s="66" t="s">
        <v>21</v>
      </c>
      <c r="B307" s="88" t="s">
        <v>140</v>
      </c>
      <c r="C307" s="88" t="s">
        <v>482</v>
      </c>
      <c r="D307" s="89">
        <v>200</v>
      </c>
      <c r="E307" s="123">
        <v>9857.7999999999993</v>
      </c>
      <c r="F307" s="123">
        <v>0</v>
      </c>
      <c r="G307" s="123">
        <v>0</v>
      </c>
    </row>
    <row r="308" spans="1:7" x14ac:dyDescent="0.25">
      <c r="A308" s="82" t="s">
        <v>231</v>
      </c>
      <c r="B308" s="24" t="s">
        <v>232</v>
      </c>
      <c r="C308" s="24"/>
      <c r="D308" s="25"/>
      <c r="E308" s="12">
        <f>E309+E324</f>
        <v>386931.7</v>
      </c>
      <c r="F308" s="12">
        <f t="shared" ref="F308:G308" si="88">F309+F324</f>
        <v>355285.2</v>
      </c>
      <c r="G308" s="12">
        <f t="shared" si="88"/>
        <v>299741.5</v>
      </c>
    </row>
    <row r="309" spans="1:7" ht="48" customHeight="1" x14ac:dyDescent="0.25">
      <c r="A309" s="76" t="s">
        <v>457</v>
      </c>
      <c r="B309" s="21" t="s">
        <v>232</v>
      </c>
      <c r="C309" s="78" t="s">
        <v>94</v>
      </c>
      <c r="D309" s="85"/>
      <c r="E309" s="59">
        <f t="shared" ref="E309:G310" si="89">SUM(E310)</f>
        <v>268434.5</v>
      </c>
      <c r="F309" s="59">
        <f t="shared" si="89"/>
        <v>236788</v>
      </c>
      <c r="G309" s="59">
        <f t="shared" si="89"/>
        <v>176196.59999999998</v>
      </c>
    </row>
    <row r="310" spans="1:7" x14ac:dyDescent="0.25">
      <c r="A310" s="77" t="s">
        <v>95</v>
      </c>
      <c r="B310" s="21" t="s">
        <v>232</v>
      </c>
      <c r="C310" s="78" t="s">
        <v>96</v>
      </c>
      <c r="D310" s="85"/>
      <c r="E310" s="59">
        <f>SUM(E311)</f>
        <v>268434.5</v>
      </c>
      <c r="F310" s="59">
        <f t="shared" si="89"/>
        <v>236788</v>
      </c>
      <c r="G310" s="59">
        <f t="shared" si="89"/>
        <v>176196.59999999998</v>
      </c>
    </row>
    <row r="311" spans="1:7" ht="30" x14ac:dyDescent="0.25">
      <c r="A311" s="77" t="s">
        <v>97</v>
      </c>
      <c r="B311" s="21" t="s">
        <v>232</v>
      </c>
      <c r="C311" s="78" t="s">
        <v>98</v>
      </c>
      <c r="D311" s="85"/>
      <c r="E311" s="59">
        <f>SUM(E314+E316+E318+E322+E312+E320)</f>
        <v>268434.5</v>
      </c>
      <c r="F311" s="59">
        <f t="shared" ref="F311:G311" si="90">SUM(F314+F316+F318+F322+F312+F320)</f>
        <v>236788</v>
      </c>
      <c r="G311" s="59">
        <f t="shared" si="90"/>
        <v>176196.59999999998</v>
      </c>
    </row>
    <row r="312" spans="1:7" ht="75" x14ac:dyDescent="0.25">
      <c r="A312" s="146" t="s">
        <v>416</v>
      </c>
      <c r="B312" s="88" t="s">
        <v>232</v>
      </c>
      <c r="C312" s="88" t="s">
        <v>409</v>
      </c>
      <c r="D312" s="89"/>
      <c r="E312" s="59">
        <f>E313</f>
        <v>20950</v>
      </c>
      <c r="F312" s="59">
        <f t="shared" ref="F312:G312" si="91">F313</f>
        <v>12975</v>
      </c>
      <c r="G312" s="59">
        <f t="shared" si="91"/>
        <v>7935</v>
      </c>
    </row>
    <row r="313" spans="1:7" ht="30" x14ac:dyDescent="0.25">
      <c r="A313" s="66" t="s">
        <v>21</v>
      </c>
      <c r="B313" s="88" t="s">
        <v>232</v>
      </c>
      <c r="C313" s="88" t="s">
        <v>409</v>
      </c>
      <c r="D313" s="89">
        <v>200</v>
      </c>
      <c r="E313" s="123">
        <f>15000+6000-50</f>
        <v>20950</v>
      </c>
      <c r="F313" s="123">
        <v>12975</v>
      </c>
      <c r="G313" s="123">
        <v>7935</v>
      </c>
    </row>
    <row r="314" spans="1:7" x14ac:dyDescent="0.25">
      <c r="A314" s="86" t="s">
        <v>233</v>
      </c>
      <c r="B314" s="21" t="s">
        <v>232</v>
      </c>
      <c r="C314" s="78" t="s">
        <v>234</v>
      </c>
      <c r="D314" s="85"/>
      <c r="E314" s="20">
        <f>SUM(E315)</f>
        <v>78197.5</v>
      </c>
      <c r="F314" s="20">
        <f>SUM(F315)</f>
        <v>80801.2</v>
      </c>
      <c r="G314" s="20">
        <f>SUM(G315)</f>
        <v>80801.2</v>
      </c>
    </row>
    <row r="315" spans="1:7" ht="30" x14ac:dyDescent="0.25">
      <c r="A315" s="1" t="s">
        <v>21</v>
      </c>
      <c r="B315" s="21" t="s">
        <v>232</v>
      </c>
      <c r="C315" s="78" t="s">
        <v>234</v>
      </c>
      <c r="D315" s="85">
        <v>200</v>
      </c>
      <c r="E315" s="123">
        <v>78197.5</v>
      </c>
      <c r="F315" s="123">
        <v>80801.2</v>
      </c>
      <c r="G315" s="123">
        <v>80801.2</v>
      </c>
    </row>
    <row r="316" spans="1:7" x14ac:dyDescent="0.25">
      <c r="A316" s="92" t="s">
        <v>235</v>
      </c>
      <c r="B316" s="21" t="s">
        <v>232</v>
      </c>
      <c r="C316" s="21" t="s">
        <v>236</v>
      </c>
      <c r="D316" s="22"/>
      <c r="E316" s="59">
        <f>SUM(E317)</f>
        <v>18632.599999999999</v>
      </c>
      <c r="F316" s="59">
        <f>SUM(F317)</f>
        <v>18632.599999999999</v>
      </c>
      <c r="G316" s="59">
        <f>SUM(G317)</f>
        <v>11395</v>
      </c>
    </row>
    <row r="317" spans="1:7" ht="30" x14ac:dyDescent="0.25">
      <c r="A317" s="1" t="s">
        <v>21</v>
      </c>
      <c r="B317" s="21" t="s">
        <v>232</v>
      </c>
      <c r="C317" s="21" t="s">
        <v>236</v>
      </c>
      <c r="D317" s="22">
        <v>200</v>
      </c>
      <c r="E317" s="123">
        <v>18632.599999999999</v>
      </c>
      <c r="F317" s="123">
        <v>18632.599999999999</v>
      </c>
      <c r="G317" s="123">
        <v>11395</v>
      </c>
    </row>
    <row r="318" spans="1:7" ht="105" x14ac:dyDescent="0.25">
      <c r="A318" s="87" t="s">
        <v>496</v>
      </c>
      <c r="B318" s="88" t="s">
        <v>232</v>
      </c>
      <c r="C318" s="88" t="s">
        <v>431</v>
      </c>
      <c r="D318" s="89"/>
      <c r="E318" s="123">
        <f>SUM(E319)</f>
        <v>73513.899999999994</v>
      </c>
      <c r="F318" s="123">
        <f t="shared" ref="F318:G318" si="92">SUM(F319)</f>
        <v>62603</v>
      </c>
      <c r="G318" s="123">
        <f t="shared" si="92"/>
        <v>38285.5</v>
      </c>
    </row>
    <row r="319" spans="1:7" x14ac:dyDescent="0.25">
      <c r="A319" s="79" t="s">
        <v>22</v>
      </c>
      <c r="B319" s="88" t="s">
        <v>232</v>
      </c>
      <c r="C319" s="88" t="s">
        <v>431</v>
      </c>
      <c r="D319" s="89">
        <v>800</v>
      </c>
      <c r="E319" s="123">
        <v>73513.899999999994</v>
      </c>
      <c r="F319" s="123">
        <v>62603</v>
      </c>
      <c r="G319" s="123">
        <v>38285.5</v>
      </c>
    </row>
    <row r="320" spans="1:7" ht="75" x14ac:dyDescent="0.25">
      <c r="A320" s="76" t="s">
        <v>497</v>
      </c>
      <c r="B320" s="88" t="s">
        <v>232</v>
      </c>
      <c r="C320" s="88" t="s">
        <v>432</v>
      </c>
      <c r="D320" s="89"/>
      <c r="E320" s="123">
        <f>SUM(E321)</f>
        <v>39057.5</v>
      </c>
      <c r="F320" s="123">
        <f t="shared" ref="F320:G320" si="93">SUM(F321)</f>
        <v>33518.800000000003</v>
      </c>
      <c r="G320" s="123">
        <f t="shared" si="93"/>
        <v>20498.8</v>
      </c>
    </row>
    <row r="321" spans="1:7" x14ac:dyDescent="0.25">
      <c r="A321" s="84" t="s">
        <v>22</v>
      </c>
      <c r="B321" s="88" t="s">
        <v>232</v>
      </c>
      <c r="C321" s="88" t="s">
        <v>432</v>
      </c>
      <c r="D321" s="89">
        <v>800</v>
      </c>
      <c r="E321" s="123">
        <v>39057.5</v>
      </c>
      <c r="F321" s="123">
        <v>33518.800000000003</v>
      </c>
      <c r="G321" s="123">
        <v>20498.8</v>
      </c>
    </row>
    <row r="322" spans="1:7" ht="75" x14ac:dyDescent="0.25">
      <c r="A322" s="76" t="s">
        <v>498</v>
      </c>
      <c r="B322" s="88" t="s">
        <v>232</v>
      </c>
      <c r="C322" s="88" t="s">
        <v>433</v>
      </c>
      <c r="D322" s="89"/>
      <c r="E322" s="123">
        <f>SUM(E323)</f>
        <v>38083</v>
      </c>
      <c r="F322" s="123">
        <f t="shared" ref="F322:G322" si="94">SUM(F323)</f>
        <v>28257.4</v>
      </c>
      <c r="G322" s="123">
        <f t="shared" si="94"/>
        <v>17281.099999999999</v>
      </c>
    </row>
    <row r="323" spans="1:7" x14ac:dyDescent="0.25">
      <c r="A323" s="79" t="s">
        <v>22</v>
      </c>
      <c r="B323" s="88" t="s">
        <v>232</v>
      </c>
      <c r="C323" s="88" t="s">
        <v>433</v>
      </c>
      <c r="D323" s="89">
        <v>800</v>
      </c>
      <c r="E323" s="123">
        <v>38083</v>
      </c>
      <c r="F323" s="123">
        <v>28257.4</v>
      </c>
      <c r="G323" s="123">
        <v>17281.099999999999</v>
      </c>
    </row>
    <row r="324" spans="1:7" ht="30" x14ac:dyDescent="0.25">
      <c r="A324" s="66" t="s">
        <v>491</v>
      </c>
      <c r="B324" s="88" t="s">
        <v>232</v>
      </c>
      <c r="C324" s="88" t="s">
        <v>394</v>
      </c>
      <c r="D324" s="89"/>
      <c r="E324" s="123">
        <f>E325</f>
        <v>118497.2</v>
      </c>
      <c r="F324" s="123">
        <f t="shared" ref="F324:G324" si="95">F325</f>
        <v>118497.2</v>
      </c>
      <c r="G324" s="123">
        <f t="shared" si="95"/>
        <v>123544.9</v>
      </c>
    </row>
    <row r="325" spans="1:7" ht="30" x14ac:dyDescent="0.25">
      <c r="A325" s="66" t="s">
        <v>492</v>
      </c>
      <c r="B325" s="88" t="s">
        <v>232</v>
      </c>
      <c r="C325" s="88" t="s">
        <v>494</v>
      </c>
      <c r="D325" s="89"/>
      <c r="E325" s="123">
        <f>SUM(E326)</f>
        <v>118497.2</v>
      </c>
      <c r="F325" s="123">
        <f t="shared" ref="F325:G326" si="96">SUM(F326)</f>
        <v>118497.2</v>
      </c>
      <c r="G325" s="123">
        <f t="shared" si="96"/>
        <v>123544.9</v>
      </c>
    </row>
    <row r="326" spans="1:7" ht="30" x14ac:dyDescent="0.25">
      <c r="A326" s="66" t="s">
        <v>493</v>
      </c>
      <c r="B326" s="88" t="s">
        <v>232</v>
      </c>
      <c r="C326" s="88" t="s">
        <v>495</v>
      </c>
      <c r="D326" s="89"/>
      <c r="E326" s="123">
        <f>SUM(E327)</f>
        <v>118497.2</v>
      </c>
      <c r="F326" s="123">
        <f t="shared" si="96"/>
        <v>118497.2</v>
      </c>
      <c r="G326" s="123">
        <f t="shared" si="96"/>
        <v>123544.9</v>
      </c>
    </row>
    <row r="327" spans="1:7" ht="30" x14ac:dyDescent="0.25">
      <c r="A327" s="1" t="s">
        <v>21</v>
      </c>
      <c r="B327" s="88" t="s">
        <v>232</v>
      </c>
      <c r="C327" s="88" t="s">
        <v>495</v>
      </c>
      <c r="D327" s="89">
        <v>200</v>
      </c>
      <c r="E327" s="123">
        <f>4784.5+2325.3+111387.4</f>
        <v>118497.2</v>
      </c>
      <c r="F327" s="123">
        <f>4784.5+2325.3+111387.4</f>
        <v>118497.2</v>
      </c>
      <c r="G327" s="123">
        <f>4784.5+2628.2+116132.2</f>
        <v>123544.9</v>
      </c>
    </row>
    <row r="328" spans="1:7" x14ac:dyDescent="0.25">
      <c r="A328" s="82" t="s">
        <v>143</v>
      </c>
      <c r="B328" s="24" t="s">
        <v>144</v>
      </c>
      <c r="C328" s="24"/>
      <c r="D328" s="25"/>
      <c r="E328" s="12">
        <f>E334+E342+E329</f>
        <v>125430.20000000001</v>
      </c>
      <c r="F328" s="12">
        <f t="shared" ref="F328:G328" si="97">F334+F342+F329</f>
        <v>111555</v>
      </c>
      <c r="G328" s="12">
        <f t="shared" si="97"/>
        <v>114248.40000000002</v>
      </c>
    </row>
    <row r="329" spans="1:7" ht="30" x14ac:dyDescent="0.25">
      <c r="A329" s="76" t="s">
        <v>455</v>
      </c>
      <c r="B329" s="88" t="s">
        <v>144</v>
      </c>
      <c r="C329" s="88" t="s">
        <v>220</v>
      </c>
      <c r="D329" s="89"/>
      <c r="E329" s="123">
        <f>SUM(E330)</f>
        <v>2.6</v>
      </c>
      <c r="F329" s="123">
        <f t="shared" ref="F329:G332" si="98">SUM(F330)</f>
        <v>2.6</v>
      </c>
      <c r="G329" s="123">
        <f t="shared" si="98"/>
        <v>2.6</v>
      </c>
    </row>
    <row r="330" spans="1:7" ht="45" x14ac:dyDescent="0.25">
      <c r="A330" s="76" t="s">
        <v>517</v>
      </c>
      <c r="B330" s="88" t="s">
        <v>144</v>
      </c>
      <c r="C330" s="88" t="s">
        <v>360</v>
      </c>
      <c r="D330" s="89"/>
      <c r="E330" s="123">
        <f>SUM(E331)</f>
        <v>2.6</v>
      </c>
      <c r="F330" s="123">
        <f t="shared" si="98"/>
        <v>2.6</v>
      </c>
      <c r="G330" s="123">
        <f t="shared" si="98"/>
        <v>2.6</v>
      </c>
    </row>
    <row r="331" spans="1:7" ht="45" x14ac:dyDescent="0.25">
      <c r="A331" s="76" t="s">
        <v>361</v>
      </c>
      <c r="B331" s="88" t="s">
        <v>144</v>
      </c>
      <c r="C331" s="88" t="s">
        <v>362</v>
      </c>
      <c r="D331" s="89"/>
      <c r="E331" s="123">
        <f>SUM(E332)</f>
        <v>2.6</v>
      </c>
      <c r="F331" s="123">
        <f t="shared" si="98"/>
        <v>2.6</v>
      </c>
      <c r="G331" s="123">
        <f t="shared" si="98"/>
        <v>2.6</v>
      </c>
    </row>
    <row r="332" spans="1:7" ht="105" x14ac:dyDescent="0.25">
      <c r="A332" s="136" t="s">
        <v>518</v>
      </c>
      <c r="B332" s="88" t="s">
        <v>144</v>
      </c>
      <c r="C332" s="88" t="s">
        <v>519</v>
      </c>
      <c r="D332" s="89"/>
      <c r="E332" s="123">
        <f>SUM(E333)</f>
        <v>2.6</v>
      </c>
      <c r="F332" s="123">
        <f t="shared" si="98"/>
        <v>2.6</v>
      </c>
      <c r="G332" s="123">
        <f t="shared" si="98"/>
        <v>2.6</v>
      </c>
    </row>
    <row r="333" spans="1:7" ht="30" x14ac:dyDescent="0.25">
      <c r="A333" s="84" t="s">
        <v>21</v>
      </c>
      <c r="B333" s="88" t="s">
        <v>144</v>
      </c>
      <c r="C333" s="88" t="s">
        <v>519</v>
      </c>
      <c r="D333" s="89">
        <v>200</v>
      </c>
      <c r="E333" s="123">
        <v>2.6</v>
      </c>
      <c r="F333" s="123">
        <v>2.6</v>
      </c>
      <c r="G333" s="123">
        <v>2.6</v>
      </c>
    </row>
    <row r="334" spans="1:7" ht="60" x14ac:dyDescent="0.25">
      <c r="A334" s="66" t="s">
        <v>500</v>
      </c>
      <c r="B334" s="15" t="s">
        <v>144</v>
      </c>
      <c r="C334" s="16" t="s">
        <v>94</v>
      </c>
      <c r="D334" s="17"/>
      <c r="E334" s="20">
        <f>SUM(E335)</f>
        <v>51221.4</v>
      </c>
      <c r="F334" s="20">
        <f t="shared" ref="F334:G336" si="99">SUM(F335)</f>
        <v>44362</v>
      </c>
      <c r="G334" s="20">
        <f t="shared" si="99"/>
        <v>46064.700000000004</v>
      </c>
    </row>
    <row r="335" spans="1:7" ht="60" x14ac:dyDescent="0.25">
      <c r="A335" s="66" t="s">
        <v>501</v>
      </c>
      <c r="B335" s="15" t="s">
        <v>144</v>
      </c>
      <c r="C335" s="16" t="s">
        <v>237</v>
      </c>
      <c r="D335" s="17"/>
      <c r="E335" s="123">
        <f>SUM(E336)</f>
        <v>51221.4</v>
      </c>
      <c r="F335" s="123">
        <f t="shared" si="99"/>
        <v>44362</v>
      </c>
      <c r="G335" s="123">
        <f t="shared" si="99"/>
        <v>46064.700000000004</v>
      </c>
    </row>
    <row r="336" spans="1:7" ht="30" x14ac:dyDescent="0.25">
      <c r="A336" s="66" t="s">
        <v>238</v>
      </c>
      <c r="B336" s="15" t="s">
        <v>144</v>
      </c>
      <c r="C336" s="16" t="s">
        <v>239</v>
      </c>
      <c r="D336" s="17"/>
      <c r="E336" s="123">
        <f>SUM(E337)</f>
        <v>51221.4</v>
      </c>
      <c r="F336" s="123">
        <f t="shared" si="99"/>
        <v>44362</v>
      </c>
      <c r="G336" s="123">
        <f t="shared" si="99"/>
        <v>46064.700000000004</v>
      </c>
    </row>
    <row r="337" spans="1:7" ht="30" x14ac:dyDescent="0.25">
      <c r="A337" s="73" t="s">
        <v>42</v>
      </c>
      <c r="B337" s="15" t="s">
        <v>144</v>
      </c>
      <c r="C337" s="16" t="s">
        <v>240</v>
      </c>
      <c r="D337" s="17"/>
      <c r="E337" s="123">
        <f>SUM(E338:E341)</f>
        <v>51221.4</v>
      </c>
      <c r="F337" s="123">
        <f t="shared" ref="F337:G337" si="100">SUM(F338:F341)</f>
        <v>44362</v>
      </c>
      <c r="G337" s="123">
        <f t="shared" si="100"/>
        <v>46064.700000000004</v>
      </c>
    </row>
    <row r="338" spans="1:7" ht="60" x14ac:dyDescent="0.25">
      <c r="A338" s="66" t="s">
        <v>14</v>
      </c>
      <c r="B338" s="15" t="s">
        <v>144</v>
      </c>
      <c r="C338" s="16" t="s">
        <v>240</v>
      </c>
      <c r="D338" s="17">
        <v>100</v>
      </c>
      <c r="E338" s="123">
        <f>40908.6+7821.5+38.3</f>
        <v>48768.4</v>
      </c>
      <c r="F338" s="123">
        <v>42568.7</v>
      </c>
      <c r="G338" s="123">
        <v>44271.4</v>
      </c>
    </row>
    <row r="339" spans="1:7" ht="30" x14ac:dyDescent="0.25">
      <c r="A339" s="66" t="s">
        <v>21</v>
      </c>
      <c r="B339" s="15" t="s">
        <v>144</v>
      </c>
      <c r="C339" s="16" t="s">
        <v>240</v>
      </c>
      <c r="D339" s="17">
        <v>200</v>
      </c>
      <c r="E339" s="123">
        <f>1698-38.3</f>
        <v>1659.7</v>
      </c>
      <c r="F339" s="123">
        <v>1750.8</v>
      </c>
      <c r="G339" s="123">
        <v>1750.8</v>
      </c>
    </row>
    <row r="340" spans="1:7" x14ac:dyDescent="0.25">
      <c r="A340" s="66" t="s">
        <v>29</v>
      </c>
      <c r="B340" s="15" t="s">
        <v>144</v>
      </c>
      <c r="C340" s="16" t="s">
        <v>240</v>
      </c>
      <c r="D340" s="17">
        <v>300</v>
      </c>
      <c r="E340" s="123">
        <v>750.8</v>
      </c>
      <c r="F340" s="123">
        <v>0</v>
      </c>
      <c r="G340" s="123">
        <v>0</v>
      </c>
    </row>
    <row r="341" spans="1:7" x14ac:dyDescent="0.25">
      <c r="A341" s="117" t="s">
        <v>22</v>
      </c>
      <c r="B341" s="15" t="s">
        <v>144</v>
      </c>
      <c r="C341" s="16" t="s">
        <v>240</v>
      </c>
      <c r="D341" s="17">
        <v>800</v>
      </c>
      <c r="E341" s="123">
        <v>42.5</v>
      </c>
      <c r="F341" s="123">
        <v>42.5</v>
      </c>
      <c r="G341" s="123">
        <v>42.5</v>
      </c>
    </row>
    <row r="342" spans="1:7" ht="45" x14ac:dyDescent="0.25">
      <c r="A342" s="76" t="s">
        <v>499</v>
      </c>
      <c r="B342" s="88" t="s">
        <v>144</v>
      </c>
      <c r="C342" s="88" t="s">
        <v>101</v>
      </c>
      <c r="D342" s="89"/>
      <c r="E342" s="123">
        <f>SUM(E343)</f>
        <v>74206.2</v>
      </c>
      <c r="F342" s="123">
        <f t="shared" ref="F342:G343" si="101">SUM(F343)</f>
        <v>67190.399999999994</v>
      </c>
      <c r="G342" s="123">
        <f t="shared" si="101"/>
        <v>68181.100000000006</v>
      </c>
    </row>
    <row r="343" spans="1:7" ht="45" x14ac:dyDescent="0.25">
      <c r="A343" s="76" t="s">
        <v>145</v>
      </c>
      <c r="B343" s="88" t="s">
        <v>144</v>
      </c>
      <c r="C343" s="88" t="s">
        <v>146</v>
      </c>
      <c r="D343" s="89"/>
      <c r="E343" s="123">
        <f>SUM(E344)</f>
        <v>74206.2</v>
      </c>
      <c r="F343" s="123">
        <f t="shared" si="101"/>
        <v>67190.399999999994</v>
      </c>
      <c r="G343" s="123">
        <f t="shared" si="101"/>
        <v>68181.100000000006</v>
      </c>
    </row>
    <row r="344" spans="1:7" ht="30" x14ac:dyDescent="0.25">
      <c r="A344" s="84" t="s">
        <v>55</v>
      </c>
      <c r="B344" s="88" t="s">
        <v>144</v>
      </c>
      <c r="C344" s="88" t="s">
        <v>147</v>
      </c>
      <c r="D344" s="89"/>
      <c r="E344" s="123">
        <f>SUM(E345:E347)</f>
        <v>74206.2</v>
      </c>
      <c r="F344" s="123">
        <f t="shared" ref="F344:G344" si="102">SUM(F345:F347)</f>
        <v>67190.399999999994</v>
      </c>
      <c r="G344" s="123">
        <f t="shared" si="102"/>
        <v>68181.100000000006</v>
      </c>
    </row>
    <row r="345" spans="1:7" ht="60" x14ac:dyDescent="0.25">
      <c r="A345" s="84" t="s">
        <v>14</v>
      </c>
      <c r="B345" s="88" t="s">
        <v>144</v>
      </c>
      <c r="C345" s="88" t="s">
        <v>147</v>
      </c>
      <c r="D345" s="89">
        <v>100</v>
      </c>
      <c r="E345" s="123">
        <f>38174.7+100+7608.2</f>
        <v>45882.899999999994</v>
      </c>
      <c r="F345" s="123">
        <v>39644.800000000003</v>
      </c>
      <c r="G345" s="123">
        <v>41230.5</v>
      </c>
    </row>
    <row r="346" spans="1:7" ht="30" x14ac:dyDescent="0.25">
      <c r="A346" s="66" t="s">
        <v>21</v>
      </c>
      <c r="B346" s="88" t="s">
        <v>144</v>
      </c>
      <c r="C346" s="88" t="s">
        <v>147</v>
      </c>
      <c r="D346" s="89">
        <v>200</v>
      </c>
      <c r="E346" s="123">
        <v>2855.3</v>
      </c>
      <c r="F346" s="123">
        <v>2077.6</v>
      </c>
      <c r="G346" s="123">
        <v>1482.6</v>
      </c>
    </row>
    <row r="347" spans="1:7" x14ac:dyDescent="0.25">
      <c r="A347" s="117" t="s">
        <v>22</v>
      </c>
      <c r="B347" s="88" t="s">
        <v>144</v>
      </c>
      <c r="C347" s="88" t="s">
        <v>147</v>
      </c>
      <c r="D347" s="89">
        <v>800</v>
      </c>
      <c r="E347" s="123">
        <v>25468</v>
      </c>
      <c r="F347" s="123">
        <v>25468</v>
      </c>
      <c r="G347" s="123">
        <v>25468</v>
      </c>
    </row>
    <row r="348" spans="1:7" x14ac:dyDescent="0.25">
      <c r="A348" s="9" t="s">
        <v>148</v>
      </c>
      <c r="B348" s="10" t="s">
        <v>149</v>
      </c>
      <c r="C348" s="14"/>
      <c r="D348" s="11"/>
      <c r="E348" s="97">
        <f>SUM(E349+E371+E425+E446+E404)</f>
        <v>3625140.2</v>
      </c>
      <c r="F348" s="97">
        <f>SUM(F349+F371+F425+F446+F404)</f>
        <v>3664028.7</v>
      </c>
      <c r="G348" s="97">
        <f>SUM(G349+G371+G425+G446+G404)</f>
        <v>3800806.4999999995</v>
      </c>
    </row>
    <row r="349" spans="1:7" x14ac:dyDescent="0.25">
      <c r="A349" s="9" t="s">
        <v>267</v>
      </c>
      <c r="B349" s="10" t="s">
        <v>268</v>
      </c>
      <c r="C349" s="14"/>
      <c r="D349" s="11"/>
      <c r="E349" s="97">
        <f>SUM(E350)</f>
        <v>1268632.5</v>
      </c>
      <c r="F349" s="97">
        <f t="shared" ref="F349:G349" si="103">SUM(F350)</f>
        <v>1264538.7</v>
      </c>
      <c r="G349" s="97">
        <f t="shared" si="103"/>
        <v>1311756.2</v>
      </c>
    </row>
    <row r="350" spans="1:7" ht="20.25" customHeight="1" x14ac:dyDescent="0.25">
      <c r="A350" s="66" t="s">
        <v>502</v>
      </c>
      <c r="B350" s="15" t="s">
        <v>268</v>
      </c>
      <c r="C350" s="16" t="s">
        <v>269</v>
      </c>
      <c r="D350" s="17"/>
      <c r="E350" s="98">
        <f>SUM(E351+E367)</f>
        <v>1268632.5</v>
      </c>
      <c r="F350" s="98">
        <f>SUM(F351+F367)</f>
        <v>1264538.7</v>
      </c>
      <c r="G350" s="98">
        <f>SUM(G351+G367)</f>
        <v>1311756.2</v>
      </c>
    </row>
    <row r="351" spans="1:7" ht="30" x14ac:dyDescent="0.25">
      <c r="A351" s="61" t="s">
        <v>270</v>
      </c>
      <c r="B351" s="15" t="s">
        <v>268</v>
      </c>
      <c r="C351" s="16" t="s">
        <v>271</v>
      </c>
      <c r="D351" s="17"/>
      <c r="E351" s="98">
        <f>SUM(E352)+E357+E364</f>
        <v>1267352.2</v>
      </c>
      <c r="F351" s="98">
        <f>SUM(F352)+F357+F364</f>
        <v>1263258.3999999999</v>
      </c>
      <c r="G351" s="98">
        <f>SUM(G352)+G357+G364</f>
        <v>1310475.8999999999</v>
      </c>
    </row>
    <row r="352" spans="1:7" ht="45" x14ac:dyDescent="0.25">
      <c r="A352" s="61" t="s">
        <v>272</v>
      </c>
      <c r="B352" s="15" t="s">
        <v>268</v>
      </c>
      <c r="C352" s="16" t="s">
        <v>273</v>
      </c>
      <c r="D352" s="17"/>
      <c r="E352" s="98">
        <f>SUM(E353)+E355</f>
        <v>1242878.7</v>
      </c>
      <c r="F352" s="98">
        <f t="shared" ref="F352:G352" si="104">SUM(F353)+F355</f>
        <v>1261336.8999999999</v>
      </c>
      <c r="G352" s="98">
        <f t="shared" si="104"/>
        <v>1308554.3999999999</v>
      </c>
    </row>
    <row r="353" spans="1:7" ht="30" x14ac:dyDescent="0.25">
      <c r="A353" s="61" t="s">
        <v>51</v>
      </c>
      <c r="B353" s="15" t="s">
        <v>268</v>
      </c>
      <c r="C353" s="16" t="s">
        <v>274</v>
      </c>
      <c r="D353" s="17"/>
      <c r="E353" s="98">
        <f>SUM(E354)</f>
        <v>649240.5</v>
      </c>
      <c r="F353" s="98">
        <f t="shared" ref="F353:G353" si="105">SUM(F354)</f>
        <v>627225.69999999995</v>
      </c>
      <c r="G353" s="98">
        <f t="shared" si="105"/>
        <v>631304.19999999995</v>
      </c>
    </row>
    <row r="354" spans="1:7" ht="30" x14ac:dyDescent="0.25">
      <c r="A354" s="1" t="s">
        <v>56</v>
      </c>
      <c r="B354" s="15" t="s">
        <v>268</v>
      </c>
      <c r="C354" s="16" t="s">
        <v>274</v>
      </c>
      <c r="D354" s="17">
        <v>600</v>
      </c>
      <c r="E354" s="123">
        <f>630112.1+19128.4</f>
        <v>649240.5</v>
      </c>
      <c r="F354" s="123">
        <v>627225.69999999995</v>
      </c>
      <c r="G354" s="123">
        <v>631304.19999999995</v>
      </c>
    </row>
    <row r="355" spans="1:7" ht="120" x14ac:dyDescent="0.25">
      <c r="A355" s="66" t="s">
        <v>571</v>
      </c>
      <c r="B355" s="15" t="s">
        <v>268</v>
      </c>
      <c r="C355" s="16" t="s">
        <v>382</v>
      </c>
      <c r="D355" s="17"/>
      <c r="E355" s="123">
        <f>E356</f>
        <v>593638.19999999995</v>
      </c>
      <c r="F355" s="123">
        <f t="shared" ref="F355:G355" si="106">F356</f>
        <v>634111.19999999995</v>
      </c>
      <c r="G355" s="123">
        <f t="shared" si="106"/>
        <v>677250.2</v>
      </c>
    </row>
    <row r="356" spans="1:7" ht="30" x14ac:dyDescent="0.25">
      <c r="A356" s="66" t="s">
        <v>56</v>
      </c>
      <c r="B356" s="15" t="s">
        <v>268</v>
      </c>
      <c r="C356" s="16" t="s">
        <v>382</v>
      </c>
      <c r="D356" s="15" t="s">
        <v>275</v>
      </c>
      <c r="E356" s="123">
        <v>593638.19999999995</v>
      </c>
      <c r="F356" s="123">
        <v>634111.19999999995</v>
      </c>
      <c r="G356" s="123">
        <v>677250.2</v>
      </c>
    </row>
    <row r="357" spans="1:7" ht="28.5" customHeight="1" x14ac:dyDescent="0.25">
      <c r="A357" s="66" t="s">
        <v>584</v>
      </c>
      <c r="B357" s="15" t="s">
        <v>268</v>
      </c>
      <c r="C357" s="16" t="s">
        <v>415</v>
      </c>
      <c r="D357" s="17"/>
      <c r="E357" s="123">
        <f>SUM(E360)+E358+E362</f>
        <v>23973.5</v>
      </c>
      <c r="F357" s="123">
        <f t="shared" ref="F357:G357" si="107">SUM(F360)+F358+F362</f>
        <v>1921.5</v>
      </c>
      <c r="G357" s="123">
        <f t="shared" si="107"/>
        <v>1921.5</v>
      </c>
    </row>
    <row r="358" spans="1:7" ht="30" x14ac:dyDescent="0.25">
      <c r="A358" s="129" t="s">
        <v>411</v>
      </c>
      <c r="B358" s="16" t="s">
        <v>268</v>
      </c>
      <c r="C358" s="16" t="s">
        <v>412</v>
      </c>
      <c r="D358" s="16"/>
      <c r="E358" s="123">
        <f>E359</f>
        <v>8300</v>
      </c>
      <c r="F358" s="123">
        <f t="shared" ref="F358:G358" si="108">F359</f>
        <v>0</v>
      </c>
      <c r="G358" s="123">
        <f t="shared" si="108"/>
        <v>0</v>
      </c>
    </row>
    <row r="359" spans="1:7" ht="30" x14ac:dyDescent="0.25">
      <c r="A359" s="66" t="s">
        <v>56</v>
      </c>
      <c r="B359" s="16" t="s">
        <v>268</v>
      </c>
      <c r="C359" s="16" t="s">
        <v>412</v>
      </c>
      <c r="D359" s="16" t="s">
        <v>275</v>
      </c>
      <c r="E359" s="130">
        <v>8300</v>
      </c>
      <c r="F359" s="130">
        <v>0</v>
      </c>
      <c r="G359" s="130">
        <v>0</v>
      </c>
    </row>
    <row r="360" spans="1:7" ht="45" x14ac:dyDescent="0.25">
      <c r="A360" s="66" t="s">
        <v>598</v>
      </c>
      <c r="B360" s="15" t="s">
        <v>268</v>
      </c>
      <c r="C360" s="16" t="s">
        <v>503</v>
      </c>
      <c r="D360" s="17"/>
      <c r="E360" s="123">
        <f>SUM(E361)</f>
        <v>9050.2000000000007</v>
      </c>
      <c r="F360" s="123">
        <f t="shared" ref="F360:G360" si="109">SUM(F361)</f>
        <v>1921.5</v>
      </c>
      <c r="G360" s="123">
        <f t="shared" si="109"/>
        <v>1921.5</v>
      </c>
    </row>
    <row r="361" spans="1:7" ht="30" x14ac:dyDescent="0.25">
      <c r="A361" s="26" t="s">
        <v>74</v>
      </c>
      <c r="B361" s="15" t="s">
        <v>268</v>
      </c>
      <c r="C361" s="16" t="s">
        <v>503</v>
      </c>
      <c r="D361" s="17">
        <v>400</v>
      </c>
      <c r="E361" s="123">
        <v>9050.2000000000007</v>
      </c>
      <c r="F361" s="123">
        <v>1921.5</v>
      </c>
      <c r="G361" s="123">
        <v>1921.5</v>
      </c>
    </row>
    <row r="362" spans="1:7" ht="30" x14ac:dyDescent="0.25">
      <c r="A362" s="132" t="s">
        <v>556</v>
      </c>
      <c r="B362" s="16" t="s">
        <v>268</v>
      </c>
      <c r="C362" s="111" t="s">
        <v>504</v>
      </c>
      <c r="D362" s="65"/>
      <c r="E362" s="133">
        <f>E363</f>
        <v>6623.2999999999993</v>
      </c>
      <c r="F362" s="133">
        <f t="shared" ref="F362:G362" si="110">F363</f>
        <v>0</v>
      </c>
      <c r="G362" s="133">
        <f t="shared" si="110"/>
        <v>0</v>
      </c>
    </row>
    <row r="363" spans="1:7" ht="30" x14ac:dyDescent="0.25">
      <c r="A363" s="132" t="s">
        <v>56</v>
      </c>
      <c r="B363" s="16" t="s">
        <v>268</v>
      </c>
      <c r="C363" s="111" t="s">
        <v>504</v>
      </c>
      <c r="D363" s="65">
        <v>600</v>
      </c>
      <c r="E363" s="133">
        <f>6225.9+397.4</f>
        <v>6623.2999999999993</v>
      </c>
      <c r="F363" s="137">
        <v>0</v>
      </c>
      <c r="G363" s="138">
        <v>0</v>
      </c>
    </row>
    <row r="364" spans="1:7" ht="30" x14ac:dyDescent="0.25">
      <c r="A364" s="131" t="s">
        <v>505</v>
      </c>
      <c r="B364" s="16" t="s">
        <v>268</v>
      </c>
      <c r="C364" s="111" t="s">
        <v>525</v>
      </c>
      <c r="D364" s="65"/>
      <c r="E364" s="133">
        <f>E365</f>
        <v>500</v>
      </c>
      <c r="F364" s="133">
        <f>F365</f>
        <v>0</v>
      </c>
      <c r="G364" s="133">
        <f>G365</f>
        <v>0</v>
      </c>
    </row>
    <row r="365" spans="1:7" x14ac:dyDescent="0.25">
      <c r="A365" s="131" t="s">
        <v>506</v>
      </c>
      <c r="B365" s="16" t="s">
        <v>268</v>
      </c>
      <c r="C365" s="111" t="s">
        <v>526</v>
      </c>
      <c r="D365" s="65"/>
      <c r="E365" s="133">
        <f>E366</f>
        <v>500</v>
      </c>
      <c r="F365" s="133">
        <f t="shared" ref="F365:G365" si="111">F366</f>
        <v>0</v>
      </c>
      <c r="G365" s="133">
        <f t="shared" si="111"/>
        <v>0</v>
      </c>
    </row>
    <row r="366" spans="1:7" ht="30" x14ac:dyDescent="0.25">
      <c r="A366" s="132" t="s">
        <v>56</v>
      </c>
      <c r="B366" s="16" t="s">
        <v>268</v>
      </c>
      <c r="C366" s="111" t="s">
        <v>526</v>
      </c>
      <c r="D366" s="65">
        <v>600</v>
      </c>
      <c r="E366" s="133">
        <v>500</v>
      </c>
      <c r="F366" s="133">
        <v>0</v>
      </c>
      <c r="G366" s="133">
        <v>0</v>
      </c>
    </row>
    <row r="367" spans="1:7" ht="45" x14ac:dyDescent="0.25">
      <c r="A367" s="99" t="s">
        <v>507</v>
      </c>
      <c r="B367" s="100" t="s">
        <v>268</v>
      </c>
      <c r="C367" s="101" t="s">
        <v>276</v>
      </c>
      <c r="D367" s="100"/>
      <c r="E367" s="102">
        <f>E368</f>
        <v>1280.3</v>
      </c>
      <c r="F367" s="102">
        <f t="shared" ref="F367:G368" si="112">F368</f>
        <v>1280.3</v>
      </c>
      <c r="G367" s="102">
        <f t="shared" si="112"/>
        <v>1280.3</v>
      </c>
    </row>
    <row r="368" spans="1:7" ht="30" x14ac:dyDescent="0.25">
      <c r="A368" s="103" t="s">
        <v>277</v>
      </c>
      <c r="B368" s="100" t="s">
        <v>268</v>
      </c>
      <c r="C368" s="101" t="s">
        <v>278</v>
      </c>
      <c r="D368" s="100"/>
      <c r="E368" s="102">
        <f>E369</f>
        <v>1280.3</v>
      </c>
      <c r="F368" s="102">
        <f t="shared" si="112"/>
        <v>1280.3</v>
      </c>
      <c r="G368" s="102">
        <f t="shared" si="112"/>
        <v>1280.3</v>
      </c>
    </row>
    <row r="369" spans="1:7" ht="30" x14ac:dyDescent="0.25">
      <c r="A369" s="104" t="s">
        <v>279</v>
      </c>
      <c r="B369" s="100" t="s">
        <v>268</v>
      </c>
      <c r="C369" s="101" t="s">
        <v>280</v>
      </c>
      <c r="D369" s="100"/>
      <c r="E369" s="102">
        <f>E370</f>
        <v>1280.3</v>
      </c>
      <c r="F369" s="102">
        <f t="shared" ref="F369:G369" si="113">F370</f>
        <v>1280.3</v>
      </c>
      <c r="G369" s="102">
        <f t="shared" si="113"/>
        <v>1280.3</v>
      </c>
    </row>
    <row r="370" spans="1:7" ht="30" x14ac:dyDescent="0.25">
      <c r="A370" s="1" t="s">
        <v>56</v>
      </c>
      <c r="B370" s="100" t="s">
        <v>268</v>
      </c>
      <c r="C370" s="101" t="s">
        <v>280</v>
      </c>
      <c r="D370" s="100">
        <v>600</v>
      </c>
      <c r="E370" s="123">
        <v>1280.3</v>
      </c>
      <c r="F370" s="123">
        <v>1280.3</v>
      </c>
      <c r="G370" s="123">
        <v>1280.3</v>
      </c>
    </row>
    <row r="371" spans="1:7" x14ac:dyDescent="0.25">
      <c r="A371" s="9" t="s">
        <v>281</v>
      </c>
      <c r="B371" s="14" t="s">
        <v>282</v>
      </c>
      <c r="C371" s="14"/>
      <c r="D371" s="70"/>
      <c r="E371" s="105">
        <f>E372</f>
        <v>1899140.7000000002</v>
      </c>
      <c r="F371" s="105">
        <f t="shared" ref="F371:G371" si="114">F372</f>
        <v>1969533.8</v>
      </c>
      <c r="G371" s="105">
        <f t="shared" si="114"/>
        <v>2051587.3000000003</v>
      </c>
    </row>
    <row r="372" spans="1:7" ht="16.5" customHeight="1" x14ac:dyDescent="0.25">
      <c r="A372" s="1" t="s">
        <v>502</v>
      </c>
      <c r="B372" s="15" t="s">
        <v>282</v>
      </c>
      <c r="C372" s="16" t="s">
        <v>269</v>
      </c>
      <c r="D372" s="17"/>
      <c r="E372" s="98">
        <f>SUM(E373+E398)</f>
        <v>1899140.7000000002</v>
      </c>
      <c r="F372" s="98">
        <f>SUM(F373+F398)</f>
        <v>1969533.8</v>
      </c>
      <c r="G372" s="98">
        <f>SUM(G373+G398)</f>
        <v>2051587.3000000003</v>
      </c>
    </row>
    <row r="373" spans="1:7" ht="30" x14ac:dyDescent="0.25">
      <c r="A373" s="61" t="s">
        <v>270</v>
      </c>
      <c r="B373" s="15" t="s">
        <v>282</v>
      </c>
      <c r="C373" s="16" t="s">
        <v>271</v>
      </c>
      <c r="D373" s="17"/>
      <c r="E373" s="98">
        <f>E377+E392+E395+E374</f>
        <v>1897077.1</v>
      </c>
      <c r="F373" s="98">
        <f>F377+F392+F395+F374</f>
        <v>1967470.2</v>
      </c>
      <c r="G373" s="98">
        <f>G377+G392+G395+G374</f>
        <v>2049523.7000000002</v>
      </c>
    </row>
    <row r="374" spans="1:7" x14ac:dyDescent="0.25">
      <c r="A374" s="61" t="s">
        <v>550</v>
      </c>
      <c r="B374" s="15" t="s">
        <v>282</v>
      </c>
      <c r="C374" s="16" t="s">
        <v>552</v>
      </c>
      <c r="D374" s="17"/>
      <c r="E374" s="98">
        <f>E375</f>
        <v>526916.80000000005</v>
      </c>
      <c r="F374" s="98">
        <f t="shared" ref="F374:G375" si="115">F375</f>
        <v>613993.5</v>
      </c>
      <c r="G374" s="98">
        <f t="shared" si="115"/>
        <v>636456.70000000007</v>
      </c>
    </row>
    <row r="375" spans="1:7" x14ac:dyDescent="0.25">
      <c r="A375" s="136" t="s">
        <v>551</v>
      </c>
      <c r="B375" s="15" t="s">
        <v>282</v>
      </c>
      <c r="C375" s="16" t="s">
        <v>553</v>
      </c>
      <c r="D375" s="17"/>
      <c r="E375" s="98">
        <f>E376</f>
        <v>526916.80000000005</v>
      </c>
      <c r="F375" s="98">
        <f t="shared" si="115"/>
        <v>613993.5</v>
      </c>
      <c r="G375" s="98">
        <f t="shared" si="115"/>
        <v>636456.70000000007</v>
      </c>
    </row>
    <row r="376" spans="1:7" ht="30" x14ac:dyDescent="0.25">
      <c r="A376" s="129" t="s">
        <v>74</v>
      </c>
      <c r="B376" s="15" t="s">
        <v>282</v>
      </c>
      <c r="C376" s="16" t="s">
        <v>553</v>
      </c>
      <c r="D376" s="17">
        <v>400</v>
      </c>
      <c r="E376" s="98">
        <f>64.6+31550.4+495301.8</f>
        <v>526916.80000000005</v>
      </c>
      <c r="F376" s="98">
        <f>36839.6+577153.9</f>
        <v>613993.5</v>
      </c>
      <c r="G376" s="98">
        <f>38187.4+598269.3</f>
        <v>636456.70000000007</v>
      </c>
    </row>
    <row r="377" spans="1:7" ht="31.5" customHeight="1" x14ac:dyDescent="0.25">
      <c r="A377" s="62" t="s">
        <v>272</v>
      </c>
      <c r="B377" s="15" t="s">
        <v>282</v>
      </c>
      <c r="C377" s="16" t="s">
        <v>273</v>
      </c>
      <c r="D377" s="17"/>
      <c r="E377" s="98">
        <f>E378+E380+E382+E384+E386+E388+E390</f>
        <v>1356760.3</v>
      </c>
      <c r="F377" s="98">
        <f t="shared" ref="F377:G377" si="116">F378+F380+F382+F384+F386+F388+F390</f>
        <v>1353476.7</v>
      </c>
      <c r="G377" s="98">
        <f t="shared" si="116"/>
        <v>1413067</v>
      </c>
    </row>
    <row r="378" spans="1:7" ht="30" x14ac:dyDescent="0.25">
      <c r="A378" s="77" t="s">
        <v>283</v>
      </c>
      <c r="B378" s="16" t="s">
        <v>282</v>
      </c>
      <c r="C378" s="78" t="s">
        <v>284</v>
      </c>
      <c r="D378" s="106"/>
      <c r="E378" s="98">
        <f>E379</f>
        <v>13207.3</v>
      </c>
      <c r="F378" s="98">
        <f t="shared" ref="F378:G378" si="117">F379</f>
        <v>13207.3</v>
      </c>
      <c r="G378" s="98">
        <f t="shared" si="117"/>
        <v>13207.3</v>
      </c>
    </row>
    <row r="379" spans="1:7" ht="30" x14ac:dyDescent="0.25">
      <c r="A379" s="1" t="s">
        <v>56</v>
      </c>
      <c r="B379" s="16" t="s">
        <v>282</v>
      </c>
      <c r="C379" s="78" t="s">
        <v>284</v>
      </c>
      <c r="D379" s="107">
        <v>600</v>
      </c>
      <c r="E379" s="123">
        <v>13207.3</v>
      </c>
      <c r="F379" s="123">
        <v>13207.3</v>
      </c>
      <c r="G379" s="123">
        <v>13207.3</v>
      </c>
    </row>
    <row r="380" spans="1:7" ht="30" x14ac:dyDescent="0.25">
      <c r="A380" s="77" t="s">
        <v>387</v>
      </c>
      <c r="B380" s="16" t="s">
        <v>282</v>
      </c>
      <c r="C380" s="78" t="s">
        <v>285</v>
      </c>
      <c r="D380" s="106"/>
      <c r="E380" s="98">
        <f>E381</f>
        <v>480</v>
      </c>
      <c r="F380" s="98">
        <f t="shared" ref="F380:G380" si="118">F381</f>
        <v>480</v>
      </c>
      <c r="G380" s="98">
        <f t="shared" si="118"/>
        <v>480</v>
      </c>
    </row>
    <row r="381" spans="1:7" ht="30" x14ac:dyDescent="0.25">
      <c r="A381" s="1" t="s">
        <v>56</v>
      </c>
      <c r="B381" s="16" t="s">
        <v>282</v>
      </c>
      <c r="C381" s="78" t="s">
        <v>285</v>
      </c>
      <c r="D381" s="107">
        <v>600</v>
      </c>
      <c r="E381" s="123">
        <v>480</v>
      </c>
      <c r="F381" s="123">
        <v>480</v>
      </c>
      <c r="G381" s="123">
        <v>480</v>
      </c>
    </row>
    <row r="382" spans="1:7" ht="30" x14ac:dyDescent="0.25">
      <c r="A382" s="62" t="s">
        <v>51</v>
      </c>
      <c r="B382" s="15" t="s">
        <v>282</v>
      </c>
      <c r="C382" s="16" t="s">
        <v>274</v>
      </c>
      <c r="D382" s="17"/>
      <c r="E382" s="98">
        <f>E383</f>
        <v>389047.1</v>
      </c>
      <c r="F382" s="98">
        <f t="shared" ref="F382:G382" si="119">F383</f>
        <v>332169.09999999998</v>
      </c>
      <c r="G382" s="98">
        <f t="shared" si="119"/>
        <v>331530.3</v>
      </c>
    </row>
    <row r="383" spans="1:7" ht="30" x14ac:dyDescent="0.25">
      <c r="A383" s="1" t="s">
        <v>56</v>
      </c>
      <c r="B383" s="16" t="s">
        <v>282</v>
      </c>
      <c r="C383" s="16" t="s">
        <v>274</v>
      </c>
      <c r="D383" s="65">
        <v>600</v>
      </c>
      <c r="E383" s="123">
        <f>359922.6-875.5+30000</f>
        <v>389047.1</v>
      </c>
      <c r="F383" s="123">
        <v>332169.09999999998</v>
      </c>
      <c r="G383" s="123">
        <v>331530.3</v>
      </c>
    </row>
    <row r="384" spans="1:7" ht="45" x14ac:dyDescent="0.25">
      <c r="A384" s="77" t="s">
        <v>286</v>
      </c>
      <c r="B384" s="16" t="s">
        <v>282</v>
      </c>
      <c r="C384" s="21" t="s">
        <v>287</v>
      </c>
      <c r="D384" s="108"/>
      <c r="E384" s="102">
        <f>E385</f>
        <v>10327.5</v>
      </c>
      <c r="F384" s="102">
        <f t="shared" ref="F384:G384" si="120">F385</f>
        <v>10327.5</v>
      </c>
      <c r="G384" s="102">
        <f t="shared" si="120"/>
        <v>10327.5</v>
      </c>
    </row>
    <row r="385" spans="1:7" ht="30" x14ac:dyDescent="0.25">
      <c r="A385" s="1" t="s">
        <v>56</v>
      </c>
      <c r="B385" s="16" t="s">
        <v>282</v>
      </c>
      <c r="C385" s="21" t="s">
        <v>287</v>
      </c>
      <c r="D385" s="64">
        <v>600</v>
      </c>
      <c r="E385" s="123">
        <v>10327.5</v>
      </c>
      <c r="F385" s="123">
        <v>10327.5</v>
      </c>
      <c r="G385" s="123">
        <v>10327.5</v>
      </c>
    </row>
    <row r="386" spans="1:7" ht="60" x14ac:dyDescent="0.25">
      <c r="A386" s="66" t="s">
        <v>557</v>
      </c>
      <c r="B386" s="16" t="s">
        <v>282</v>
      </c>
      <c r="C386" s="88" t="s">
        <v>410</v>
      </c>
      <c r="D386" s="109"/>
      <c r="E386" s="130">
        <f>E387</f>
        <v>4273</v>
      </c>
      <c r="F386" s="130">
        <f t="shared" ref="F386:G386" si="121">F387</f>
        <v>4273</v>
      </c>
      <c r="G386" s="130">
        <f t="shared" si="121"/>
        <v>4273</v>
      </c>
    </row>
    <row r="387" spans="1:7" ht="30" x14ac:dyDescent="0.25">
      <c r="A387" s="66" t="s">
        <v>56</v>
      </c>
      <c r="B387" s="16" t="s">
        <v>282</v>
      </c>
      <c r="C387" s="88" t="s">
        <v>410</v>
      </c>
      <c r="D387" s="109">
        <v>600</v>
      </c>
      <c r="E387" s="130">
        <v>4273</v>
      </c>
      <c r="F387" s="130">
        <v>4273</v>
      </c>
      <c r="G387" s="130">
        <v>4273</v>
      </c>
    </row>
    <row r="388" spans="1:7" ht="60" x14ac:dyDescent="0.25">
      <c r="A388" s="134" t="s">
        <v>558</v>
      </c>
      <c r="B388" s="16" t="s">
        <v>282</v>
      </c>
      <c r="C388" s="78" t="s">
        <v>508</v>
      </c>
      <c r="D388" s="107"/>
      <c r="E388" s="133">
        <f>E389</f>
        <v>50827.5</v>
      </c>
      <c r="F388" s="133">
        <f t="shared" ref="F388:G388" si="122">F389</f>
        <v>50827.5</v>
      </c>
      <c r="G388" s="133">
        <f t="shared" si="122"/>
        <v>50827.5</v>
      </c>
    </row>
    <row r="389" spans="1:7" ht="30" x14ac:dyDescent="0.25">
      <c r="A389" s="132" t="s">
        <v>56</v>
      </c>
      <c r="B389" s="16" t="s">
        <v>282</v>
      </c>
      <c r="C389" s="78" t="s">
        <v>508</v>
      </c>
      <c r="D389" s="107">
        <v>600</v>
      </c>
      <c r="E389" s="133">
        <v>50827.5</v>
      </c>
      <c r="F389" s="133">
        <v>50827.5</v>
      </c>
      <c r="G389" s="133">
        <v>50827.5</v>
      </c>
    </row>
    <row r="390" spans="1:7" ht="120" x14ac:dyDescent="0.25">
      <c r="A390" s="66" t="s">
        <v>571</v>
      </c>
      <c r="B390" s="15" t="s">
        <v>282</v>
      </c>
      <c r="C390" s="16" t="s">
        <v>382</v>
      </c>
      <c r="D390" s="16"/>
      <c r="E390" s="123">
        <f>E391</f>
        <v>888597.9</v>
      </c>
      <c r="F390" s="123">
        <f t="shared" ref="F390:G390" si="123">F391</f>
        <v>942192.3</v>
      </c>
      <c r="G390" s="123">
        <f t="shared" si="123"/>
        <v>1002421.4</v>
      </c>
    </row>
    <row r="391" spans="1:7" ht="30" x14ac:dyDescent="0.25">
      <c r="A391" s="66" t="s">
        <v>56</v>
      </c>
      <c r="B391" s="16" t="s">
        <v>282</v>
      </c>
      <c r="C391" s="16" t="s">
        <v>382</v>
      </c>
      <c r="D391" s="16" t="s">
        <v>275</v>
      </c>
      <c r="E391" s="123">
        <v>888597.9</v>
      </c>
      <c r="F391" s="123">
        <v>942192.3</v>
      </c>
      <c r="G391" s="123">
        <v>1002421.4</v>
      </c>
    </row>
    <row r="392" spans="1:7" ht="30" x14ac:dyDescent="0.25">
      <c r="A392" s="1" t="s">
        <v>288</v>
      </c>
      <c r="B392" s="16" t="s">
        <v>282</v>
      </c>
      <c r="C392" s="16" t="s">
        <v>415</v>
      </c>
      <c r="D392" s="16"/>
      <c r="E392" s="102">
        <f>E393</f>
        <v>12900</v>
      </c>
      <c r="F392" s="102">
        <f t="shared" ref="F392:G392" si="124">F393</f>
        <v>0</v>
      </c>
      <c r="G392" s="102">
        <f t="shared" si="124"/>
        <v>0</v>
      </c>
    </row>
    <row r="393" spans="1:7" ht="30" x14ac:dyDescent="0.25">
      <c r="A393" s="110" t="s">
        <v>411</v>
      </c>
      <c r="B393" s="16" t="s">
        <v>282</v>
      </c>
      <c r="C393" s="16" t="s">
        <v>412</v>
      </c>
      <c r="D393" s="16"/>
      <c r="E393" s="102">
        <f>E394</f>
        <v>12900</v>
      </c>
      <c r="F393" s="102">
        <f t="shared" ref="F393:G393" si="125">F394</f>
        <v>0</v>
      </c>
      <c r="G393" s="102">
        <f t="shared" si="125"/>
        <v>0</v>
      </c>
    </row>
    <row r="394" spans="1:7" ht="30" x14ac:dyDescent="0.25">
      <c r="A394" s="66" t="s">
        <v>56</v>
      </c>
      <c r="B394" s="16" t="s">
        <v>282</v>
      </c>
      <c r="C394" s="16" t="s">
        <v>412</v>
      </c>
      <c r="D394" s="16" t="s">
        <v>275</v>
      </c>
      <c r="E394" s="123">
        <v>12900</v>
      </c>
      <c r="F394" s="20">
        <v>0</v>
      </c>
      <c r="G394" s="20">
        <v>0</v>
      </c>
    </row>
    <row r="395" spans="1:7" ht="30" x14ac:dyDescent="0.25">
      <c r="A395" s="131" t="s">
        <v>505</v>
      </c>
      <c r="B395" s="16" t="s">
        <v>282</v>
      </c>
      <c r="C395" s="111" t="s">
        <v>525</v>
      </c>
      <c r="D395" s="65"/>
      <c r="E395" s="133">
        <f t="shared" ref="E395:G396" si="126">E396</f>
        <v>500</v>
      </c>
      <c r="F395" s="133">
        <f t="shared" si="126"/>
        <v>0</v>
      </c>
      <c r="G395" s="133">
        <f t="shared" si="126"/>
        <v>0</v>
      </c>
    </row>
    <row r="396" spans="1:7" x14ac:dyDescent="0.25">
      <c r="A396" s="131" t="s">
        <v>506</v>
      </c>
      <c r="B396" s="16" t="s">
        <v>282</v>
      </c>
      <c r="C396" s="111" t="s">
        <v>526</v>
      </c>
      <c r="D396" s="65"/>
      <c r="E396" s="133">
        <f t="shared" si="126"/>
        <v>500</v>
      </c>
      <c r="F396" s="133">
        <f t="shared" si="126"/>
        <v>0</v>
      </c>
      <c r="G396" s="133">
        <f t="shared" si="126"/>
        <v>0</v>
      </c>
    </row>
    <row r="397" spans="1:7" ht="30" x14ac:dyDescent="0.25">
      <c r="A397" s="132" t="s">
        <v>56</v>
      </c>
      <c r="B397" s="16" t="s">
        <v>282</v>
      </c>
      <c r="C397" s="111" t="s">
        <v>526</v>
      </c>
      <c r="D397" s="65">
        <v>600</v>
      </c>
      <c r="E397" s="133">
        <v>500</v>
      </c>
      <c r="F397" s="133">
        <v>0</v>
      </c>
      <c r="G397" s="133">
        <v>0</v>
      </c>
    </row>
    <row r="398" spans="1:7" ht="45" x14ac:dyDescent="0.25">
      <c r="A398" s="112" t="s">
        <v>507</v>
      </c>
      <c r="B398" s="21" t="s">
        <v>282</v>
      </c>
      <c r="C398" s="21" t="s">
        <v>276</v>
      </c>
      <c r="D398" s="64"/>
      <c r="E398" s="113">
        <f>E399</f>
        <v>2063.6</v>
      </c>
      <c r="F398" s="113">
        <f>F399</f>
        <v>2063.6</v>
      </c>
      <c r="G398" s="113">
        <f t="shared" ref="G398" si="127">G399</f>
        <v>2063.6</v>
      </c>
    </row>
    <row r="399" spans="1:7" ht="30" x14ac:dyDescent="0.25">
      <c r="A399" s="135" t="s">
        <v>277</v>
      </c>
      <c r="B399" s="21" t="s">
        <v>282</v>
      </c>
      <c r="C399" s="21" t="s">
        <v>278</v>
      </c>
      <c r="D399" s="64"/>
      <c r="E399" s="113">
        <f>E402+E400</f>
        <v>2063.6</v>
      </c>
      <c r="F399" s="113">
        <f>F402+F400</f>
        <v>2063.6</v>
      </c>
      <c r="G399" s="113">
        <f>G402+G400</f>
        <v>2063.6</v>
      </c>
    </row>
    <row r="400" spans="1:7" ht="30" x14ac:dyDescent="0.25">
      <c r="A400" s="93" t="s">
        <v>289</v>
      </c>
      <c r="B400" s="21" t="s">
        <v>282</v>
      </c>
      <c r="C400" s="21" t="s">
        <v>290</v>
      </c>
      <c r="D400" s="64"/>
      <c r="E400" s="113">
        <f>E401</f>
        <v>325.5</v>
      </c>
      <c r="F400" s="113">
        <f t="shared" ref="F400:G400" si="128">F401</f>
        <v>325.5</v>
      </c>
      <c r="G400" s="113">
        <f t="shared" si="128"/>
        <v>325.5</v>
      </c>
    </row>
    <row r="401" spans="1:7" ht="30" x14ac:dyDescent="0.25">
      <c r="A401" s="66" t="s">
        <v>56</v>
      </c>
      <c r="B401" s="21" t="s">
        <v>282</v>
      </c>
      <c r="C401" s="21" t="s">
        <v>290</v>
      </c>
      <c r="D401" s="64">
        <v>600</v>
      </c>
      <c r="E401" s="123">
        <v>325.5</v>
      </c>
      <c r="F401" s="123">
        <v>325.5</v>
      </c>
      <c r="G401" s="123">
        <v>325.5</v>
      </c>
    </row>
    <row r="402" spans="1:7" ht="30" x14ac:dyDescent="0.25">
      <c r="A402" s="92" t="s">
        <v>279</v>
      </c>
      <c r="B402" s="21" t="s">
        <v>282</v>
      </c>
      <c r="C402" s="21" t="s">
        <v>280</v>
      </c>
      <c r="D402" s="64"/>
      <c r="E402" s="113">
        <f>E403</f>
        <v>1738.1</v>
      </c>
      <c r="F402" s="113">
        <f t="shared" ref="F402:G402" si="129">F403</f>
        <v>1738.1</v>
      </c>
      <c r="G402" s="113">
        <f t="shared" si="129"/>
        <v>1738.1</v>
      </c>
    </row>
    <row r="403" spans="1:7" ht="30" x14ac:dyDescent="0.25">
      <c r="A403" s="1" t="s">
        <v>56</v>
      </c>
      <c r="B403" s="21" t="s">
        <v>282</v>
      </c>
      <c r="C403" s="21" t="s">
        <v>280</v>
      </c>
      <c r="D403" s="64">
        <v>600</v>
      </c>
      <c r="E403" s="123">
        <v>1738.1</v>
      </c>
      <c r="F403" s="123">
        <v>1738.1</v>
      </c>
      <c r="G403" s="123">
        <v>1738.1</v>
      </c>
    </row>
    <row r="404" spans="1:7" x14ac:dyDescent="0.25">
      <c r="A404" s="9" t="s">
        <v>291</v>
      </c>
      <c r="B404" s="114" t="s">
        <v>292</v>
      </c>
      <c r="C404" s="114"/>
      <c r="D404" s="115"/>
      <c r="E404" s="55">
        <f>SUM(E405+E420)</f>
        <v>318332.40000000002</v>
      </c>
      <c r="F404" s="55">
        <f>SUM(F405+F420)</f>
        <v>310957.2</v>
      </c>
      <c r="G404" s="55">
        <f>SUM(G405+G420)</f>
        <v>316506.3</v>
      </c>
    </row>
    <row r="405" spans="1:7" ht="20.25" customHeight="1" x14ac:dyDescent="0.25">
      <c r="A405" s="66" t="s">
        <v>502</v>
      </c>
      <c r="B405" s="15" t="s">
        <v>292</v>
      </c>
      <c r="C405" s="16" t="s">
        <v>269</v>
      </c>
      <c r="D405" s="107"/>
      <c r="E405" s="20">
        <f>SUM(E406+E416)</f>
        <v>220947</v>
      </c>
      <c r="F405" s="20">
        <f>SUM(F406+F416)</f>
        <v>216843.4</v>
      </c>
      <c r="G405" s="20">
        <f>SUM(G406+G416)</f>
        <v>218897.5</v>
      </c>
    </row>
    <row r="406" spans="1:7" ht="30" x14ac:dyDescent="0.25">
      <c r="A406" s="61" t="s">
        <v>270</v>
      </c>
      <c r="B406" s="15" t="s">
        <v>292</v>
      </c>
      <c r="C406" s="16" t="s">
        <v>271</v>
      </c>
      <c r="D406" s="107"/>
      <c r="E406" s="20">
        <f>SUM(E407)+E410+E413</f>
        <v>220911</v>
      </c>
      <c r="F406" s="20">
        <f t="shared" ref="F406:G406" si="130">SUM(F407)+F410+F413</f>
        <v>216807.4</v>
      </c>
      <c r="G406" s="20">
        <f t="shared" si="130"/>
        <v>218861.5</v>
      </c>
    </row>
    <row r="407" spans="1:7" ht="45" x14ac:dyDescent="0.25">
      <c r="A407" s="62" t="s">
        <v>272</v>
      </c>
      <c r="B407" s="15" t="s">
        <v>292</v>
      </c>
      <c r="C407" s="16" t="s">
        <v>273</v>
      </c>
      <c r="D407" s="107"/>
      <c r="E407" s="20">
        <f>SUM(E408)</f>
        <v>214691</v>
      </c>
      <c r="F407" s="20">
        <f t="shared" ref="F407:G407" si="131">SUM(F408)</f>
        <v>216807.4</v>
      </c>
      <c r="G407" s="20">
        <f t="shared" si="131"/>
        <v>218861.5</v>
      </c>
    </row>
    <row r="408" spans="1:7" ht="30" x14ac:dyDescent="0.25">
      <c r="A408" s="62" t="s">
        <v>51</v>
      </c>
      <c r="B408" s="15" t="s">
        <v>292</v>
      </c>
      <c r="C408" s="16" t="s">
        <v>274</v>
      </c>
      <c r="D408" s="17"/>
      <c r="E408" s="20">
        <f>E409</f>
        <v>214691</v>
      </c>
      <c r="F408" s="20">
        <f t="shared" ref="F408:G408" si="132">F409</f>
        <v>216807.4</v>
      </c>
      <c r="G408" s="20">
        <f t="shared" si="132"/>
        <v>218861.5</v>
      </c>
    </row>
    <row r="409" spans="1:7" ht="30" x14ac:dyDescent="0.25">
      <c r="A409" s="1" t="s">
        <v>56</v>
      </c>
      <c r="B409" s="15" t="s">
        <v>292</v>
      </c>
      <c r="C409" s="16" t="s">
        <v>274</v>
      </c>
      <c r="D409" s="65">
        <v>600</v>
      </c>
      <c r="E409" s="123">
        <f>212191+2500</f>
        <v>214691</v>
      </c>
      <c r="F409" s="123">
        <v>216807.4</v>
      </c>
      <c r="G409" s="123">
        <v>218861.5</v>
      </c>
    </row>
    <row r="410" spans="1:7" ht="30" x14ac:dyDescent="0.25">
      <c r="A410" s="66" t="s">
        <v>288</v>
      </c>
      <c r="B410" s="15" t="s">
        <v>292</v>
      </c>
      <c r="C410" s="16" t="s">
        <v>415</v>
      </c>
      <c r="D410" s="16"/>
      <c r="E410" s="20">
        <f>E411</f>
        <v>5720</v>
      </c>
      <c r="F410" s="20">
        <f t="shared" ref="F410:G411" si="133">F411</f>
        <v>0</v>
      </c>
      <c r="G410" s="20">
        <f t="shared" si="133"/>
        <v>0</v>
      </c>
    </row>
    <row r="411" spans="1:7" ht="30" x14ac:dyDescent="0.25">
      <c r="A411" s="79" t="s">
        <v>411</v>
      </c>
      <c r="B411" s="15" t="s">
        <v>292</v>
      </c>
      <c r="C411" s="16" t="s">
        <v>412</v>
      </c>
      <c r="D411" s="16"/>
      <c r="E411" s="20">
        <f>E412</f>
        <v>5720</v>
      </c>
      <c r="F411" s="20">
        <f t="shared" si="133"/>
        <v>0</v>
      </c>
      <c r="G411" s="20">
        <f t="shared" si="133"/>
        <v>0</v>
      </c>
    </row>
    <row r="412" spans="1:7" ht="30" x14ac:dyDescent="0.25">
      <c r="A412" s="66" t="s">
        <v>56</v>
      </c>
      <c r="B412" s="15" t="s">
        <v>292</v>
      </c>
      <c r="C412" s="16" t="s">
        <v>412</v>
      </c>
      <c r="D412" s="16" t="s">
        <v>275</v>
      </c>
      <c r="E412" s="130">
        <v>5720</v>
      </c>
      <c r="F412" s="20">
        <v>0</v>
      </c>
      <c r="G412" s="20">
        <v>0</v>
      </c>
    </row>
    <row r="413" spans="1:7" ht="30" x14ac:dyDescent="0.25">
      <c r="A413" s="131" t="s">
        <v>505</v>
      </c>
      <c r="B413" s="16" t="s">
        <v>292</v>
      </c>
      <c r="C413" s="111" t="s">
        <v>525</v>
      </c>
      <c r="D413" s="65"/>
      <c r="E413" s="133">
        <f t="shared" ref="E413:G414" si="134">E414</f>
        <v>500</v>
      </c>
      <c r="F413" s="133">
        <f t="shared" si="134"/>
        <v>0</v>
      </c>
      <c r="G413" s="133">
        <f t="shared" si="134"/>
        <v>0</v>
      </c>
    </row>
    <row r="414" spans="1:7" x14ac:dyDescent="0.25">
      <c r="A414" s="131" t="s">
        <v>506</v>
      </c>
      <c r="B414" s="16" t="s">
        <v>292</v>
      </c>
      <c r="C414" s="111" t="s">
        <v>526</v>
      </c>
      <c r="D414" s="65"/>
      <c r="E414" s="133">
        <f t="shared" si="134"/>
        <v>500</v>
      </c>
      <c r="F414" s="133">
        <f t="shared" si="134"/>
        <v>0</v>
      </c>
      <c r="G414" s="133">
        <f t="shared" si="134"/>
        <v>0</v>
      </c>
    </row>
    <row r="415" spans="1:7" ht="30" x14ac:dyDescent="0.25">
      <c r="A415" s="132" t="s">
        <v>56</v>
      </c>
      <c r="B415" s="16" t="s">
        <v>292</v>
      </c>
      <c r="C415" s="111" t="s">
        <v>526</v>
      </c>
      <c r="D415" s="65">
        <v>600</v>
      </c>
      <c r="E415" s="133">
        <v>500</v>
      </c>
      <c r="F415" s="133">
        <v>0</v>
      </c>
      <c r="G415" s="133">
        <v>0</v>
      </c>
    </row>
    <row r="416" spans="1:7" ht="45" x14ac:dyDescent="0.25">
      <c r="A416" s="112" t="s">
        <v>507</v>
      </c>
      <c r="B416" s="15" t="s">
        <v>292</v>
      </c>
      <c r="C416" s="78" t="s">
        <v>276</v>
      </c>
      <c r="D416" s="107"/>
      <c r="E416" s="20">
        <f>E417</f>
        <v>36</v>
      </c>
      <c r="F416" s="20">
        <f t="shared" ref="F416:G417" si="135">F417</f>
        <v>36</v>
      </c>
      <c r="G416" s="20">
        <f t="shared" si="135"/>
        <v>36</v>
      </c>
    </row>
    <row r="417" spans="1:7" ht="30" x14ac:dyDescent="0.25">
      <c r="A417" s="116" t="s">
        <v>277</v>
      </c>
      <c r="B417" s="15" t="s">
        <v>292</v>
      </c>
      <c r="C417" s="78" t="s">
        <v>278</v>
      </c>
      <c r="D417" s="107"/>
      <c r="E417" s="20">
        <f>E418</f>
        <v>36</v>
      </c>
      <c r="F417" s="20">
        <f t="shared" si="135"/>
        <v>36</v>
      </c>
      <c r="G417" s="20">
        <f t="shared" si="135"/>
        <v>36</v>
      </c>
    </row>
    <row r="418" spans="1:7" ht="30" x14ac:dyDescent="0.25">
      <c r="A418" s="77" t="s">
        <v>279</v>
      </c>
      <c r="B418" s="15" t="s">
        <v>292</v>
      </c>
      <c r="C418" s="78" t="s">
        <v>280</v>
      </c>
      <c r="D418" s="107"/>
      <c r="E418" s="20">
        <f>E419</f>
        <v>36</v>
      </c>
      <c r="F418" s="20">
        <f t="shared" ref="F418:G418" si="136">F419</f>
        <v>36</v>
      </c>
      <c r="G418" s="20">
        <f t="shared" si="136"/>
        <v>36</v>
      </c>
    </row>
    <row r="419" spans="1:7" ht="30" x14ac:dyDescent="0.25">
      <c r="A419" s="1" t="s">
        <v>56</v>
      </c>
      <c r="B419" s="15" t="s">
        <v>292</v>
      </c>
      <c r="C419" s="78" t="s">
        <v>280</v>
      </c>
      <c r="D419" s="107">
        <v>600</v>
      </c>
      <c r="E419" s="130">
        <v>36</v>
      </c>
      <c r="F419" s="130">
        <v>36</v>
      </c>
      <c r="G419" s="20">
        <v>36</v>
      </c>
    </row>
    <row r="420" spans="1:7" ht="30" x14ac:dyDescent="0.25">
      <c r="A420" s="117" t="s">
        <v>436</v>
      </c>
      <c r="B420" s="15" t="s">
        <v>292</v>
      </c>
      <c r="C420" s="118" t="s">
        <v>315</v>
      </c>
      <c r="D420" s="16"/>
      <c r="E420" s="20">
        <f>SUM(E421)</f>
        <v>97385.4</v>
      </c>
      <c r="F420" s="20">
        <f t="shared" ref="F420:G420" si="137">SUM(F421)</f>
        <v>94113.8</v>
      </c>
      <c r="G420" s="20">
        <f t="shared" si="137"/>
        <v>97608.8</v>
      </c>
    </row>
    <row r="421" spans="1:7" x14ac:dyDescent="0.25">
      <c r="A421" s="1" t="s">
        <v>316</v>
      </c>
      <c r="B421" s="15" t="s">
        <v>292</v>
      </c>
      <c r="C421" s="16" t="s">
        <v>317</v>
      </c>
      <c r="D421" s="16"/>
      <c r="E421" s="20">
        <f>E422</f>
        <v>97385.4</v>
      </c>
      <c r="F421" s="20">
        <f t="shared" ref="F421:G423" si="138">F422</f>
        <v>94113.8</v>
      </c>
      <c r="G421" s="20">
        <f t="shared" si="138"/>
        <v>97608.8</v>
      </c>
    </row>
    <row r="422" spans="1:7" ht="30" x14ac:dyDescent="0.25">
      <c r="A422" s="1" t="s">
        <v>318</v>
      </c>
      <c r="B422" s="15" t="s">
        <v>292</v>
      </c>
      <c r="C422" s="78" t="s">
        <v>319</v>
      </c>
      <c r="D422" s="16"/>
      <c r="E422" s="20">
        <f>E423</f>
        <v>97385.4</v>
      </c>
      <c r="F422" s="20">
        <f t="shared" si="138"/>
        <v>94113.8</v>
      </c>
      <c r="G422" s="20">
        <f t="shared" si="138"/>
        <v>97608.8</v>
      </c>
    </row>
    <row r="423" spans="1:7" ht="30" x14ac:dyDescent="0.25">
      <c r="A423" s="61" t="s">
        <v>51</v>
      </c>
      <c r="B423" s="15" t="s">
        <v>292</v>
      </c>
      <c r="C423" s="16" t="s">
        <v>320</v>
      </c>
      <c r="D423" s="16"/>
      <c r="E423" s="20">
        <f>E424</f>
        <v>97385.4</v>
      </c>
      <c r="F423" s="20">
        <f t="shared" si="138"/>
        <v>94113.8</v>
      </c>
      <c r="G423" s="20">
        <f t="shared" si="138"/>
        <v>97608.8</v>
      </c>
    </row>
    <row r="424" spans="1:7" ht="30" x14ac:dyDescent="0.25">
      <c r="A424" s="1" t="s">
        <v>56</v>
      </c>
      <c r="B424" s="15" t="s">
        <v>292</v>
      </c>
      <c r="C424" s="16" t="s">
        <v>320</v>
      </c>
      <c r="D424" s="16" t="s">
        <v>275</v>
      </c>
      <c r="E424" s="123">
        <f>92289.9+2694.8+2400.7</f>
        <v>97385.4</v>
      </c>
      <c r="F424" s="123">
        <v>94113.8</v>
      </c>
      <c r="G424" s="123">
        <v>97608.8</v>
      </c>
    </row>
    <row r="425" spans="1:7" x14ac:dyDescent="0.25">
      <c r="A425" s="9" t="s">
        <v>385</v>
      </c>
      <c r="B425" s="10" t="s">
        <v>150</v>
      </c>
      <c r="C425" s="14"/>
      <c r="D425" s="10"/>
      <c r="E425" s="12">
        <f>E426+E436</f>
        <v>32578</v>
      </c>
      <c r="F425" s="12">
        <f>F426+F436</f>
        <v>28768.7</v>
      </c>
      <c r="G425" s="12">
        <f t="shared" ref="G425" si="139">G426+G436</f>
        <v>29238.9</v>
      </c>
    </row>
    <row r="426" spans="1:7" ht="30" x14ac:dyDescent="0.25">
      <c r="A426" s="66" t="s">
        <v>509</v>
      </c>
      <c r="B426" s="15" t="s">
        <v>150</v>
      </c>
      <c r="C426" s="16" t="s">
        <v>151</v>
      </c>
      <c r="D426" s="15"/>
      <c r="E426" s="20">
        <f>SUM(E427+E433)</f>
        <v>17082.5</v>
      </c>
      <c r="F426" s="20">
        <f t="shared" ref="F426:G426" si="140">SUM(F427+F433)</f>
        <v>14751.3</v>
      </c>
      <c r="G426" s="20">
        <f t="shared" si="140"/>
        <v>15221.5</v>
      </c>
    </row>
    <row r="427" spans="1:7" ht="30" x14ac:dyDescent="0.25">
      <c r="A427" s="1" t="s">
        <v>152</v>
      </c>
      <c r="B427" s="15" t="s">
        <v>150</v>
      </c>
      <c r="C427" s="16" t="s">
        <v>153</v>
      </c>
      <c r="D427" s="17"/>
      <c r="E427" s="20">
        <f>SUM(E428+E430)</f>
        <v>1739.9</v>
      </c>
      <c r="F427" s="20">
        <f>SUM(F428+F430)</f>
        <v>1520.9</v>
      </c>
      <c r="G427" s="20">
        <f>SUM(G428+G430)</f>
        <v>1520.9</v>
      </c>
    </row>
    <row r="428" spans="1:7" x14ac:dyDescent="0.25">
      <c r="A428" s="1" t="s">
        <v>383</v>
      </c>
      <c r="B428" s="15" t="s">
        <v>150</v>
      </c>
      <c r="C428" s="16" t="s">
        <v>154</v>
      </c>
      <c r="D428" s="17"/>
      <c r="E428" s="20">
        <f>E429</f>
        <v>1539.9</v>
      </c>
      <c r="F428" s="20">
        <f t="shared" ref="F428:G428" si="141">F429</f>
        <v>1320.9</v>
      </c>
      <c r="G428" s="20">
        <f t="shared" si="141"/>
        <v>1320.9</v>
      </c>
    </row>
    <row r="429" spans="1:7" ht="30" x14ac:dyDescent="0.25">
      <c r="A429" s="1" t="s">
        <v>21</v>
      </c>
      <c r="B429" s="15" t="s">
        <v>150</v>
      </c>
      <c r="C429" s="16" t="s">
        <v>154</v>
      </c>
      <c r="D429" s="17">
        <v>200</v>
      </c>
      <c r="E429" s="123">
        <v>1539.9</v>
      </c>
      <c r="F429" s="123">
        <v>1320.9</v>
      </c>
      <c r="G429" s="123">
        <v>1320.9</v>
      </c>
    </row>
    <row r="430" spans="1:7" x14ac:dyDescent="0.25">
      <c r="A430" s="86" t="s">
        <v>155</v>
      </c>
      <c r="B430" s="15" t="s">
        <v>150</v>
      </c>
      <c r="C430" s="16" t="s">
        <v>156</v>
      </c>
      <c r="D430" s="17"/>
      <c r="E430" s="20">
        <f>E431+E432</f>
        <v>200</v>
      </c>
      <c r="F430" s="20">
        <f t="shared" ref="F430:G430" si="142">F431+F432</f>
        <v>200</v>
      </c>
      <c r="G430" s="20">
        <f t="shared" si="142"/>
        <v>200</v>
      </c>
    </row>
    <row r="431" spans="1:7" x14ac:dyDescent="0.25">
      <c r="A431" s="1" t="s">
        <v>29</v>
      </c>
      <c r="B431" s="15" t="s">
        <v>150</v>
      </c>
      <c r="C431" s="16" t="s">
        <v>156</v>
      </c>
      <c r="D431" s="17">
        <v>300</v>
      </c>
      <c r="E431" s="123">
        <v>100</v>
      </c>
      <c r="F431" s="123">
        <v>100</v>
      </c>
      <c r="G431" s="123">
        <v>100</v>
      </c>
    </row>
    <row r="432" spans="1:7" ht="30" x14ac:dyDescent="0.25">
      <c r="A432" s="66" t="s">
        <v>56</v>
      </c>
      <c r="B432" s="15" t="s">
        <v>150</v>
      </c>
      <c r="C432" s="16" t="s">
        <v>156</v>
      </c>
      <c r="D432" s="17">
        <v>600</v>
      </c>
      <c r="E432" s="123">
        <v>100</v>
      </c>
      <c r="F432" s="123">
        <v>100</v>
      </c>
      <c r="G432" s="123">
        <v>100</v>
      </c>
    </row>
    <row r="433" spans="1:7" ht="30" x14ac:dyDescent="0.25">
      <c r="A433" s="1" t="s">
        <v>157</v>
      </c>
      <c r="B433" s="15" t="s">
        <v>150</v>
      </c>
      <c r="C433" s="16" t="s">
        <v>158</v>
      </c>
      <c r="D433" s="17"/>
      <c r="E433" s="20">
        <f>E434</f>
        <v>15342.6</v>
      </c>
      <c r="F433" s="20">
        <f t="shared" ref="F433:G434" si="143">F434</f>
        <v>13230.4</v>
      </c>
      <c r="G433" s="20">
        <f t="shared" si="143"/>
        <v>13700.6</v>
      </c>
    </row>
    <row r="434" spans="1:7" ht="30" x14ac:dyDescent="0.25">
      <c r="A434" s="1" t="s">
        <v>55</v>
      </c>
      <c r="B434" s="15" t="s">
        <v>150</v>
      </c>
      <c r="C434" s="16" t="s">
        <v>159</v>
      </c>
      <c r="D434" s="17"/>
      <c r="E434" s="20">
        <f>E435</f>
        <v>15342.6</v>
      </c>
      <c r="F434" s="20">
        <f t="shared" si="143"/>
        <v>13230.4</v>
      </c>
      <c r="G434" s="20">
        <f t="shared" si="143"/>
        <v>13700.6</v>
      </c>
    </row>
    <row r="435" spans="1:7" ht="30" x14ac:dyDescent="0.25">
      <c r="A435" s="1" t="s">
        <v>56</v>
      </c>
      <c r="B435" s="15" t="s">
        <v>150</v>
      </c>
      <c r="C435" s="16" t="s">
        <v>159</v>
      </c>
      <c r="D435" s="17">
        <v>600</v>
      </c>
      <c r="E435" s="123">
        <f>13092.6+2250</f>
        <v>15342.6</v>
      </c>
      <c r="F435" s="123">
        <v>13230.4</v>
      </c>
      <c r="G435" s="123">
        <v>13700.6</v>
      </c>
    </row>
    <row r="436" spans="1:7" ht="30" x14ac:dyDescent="0.25">
      <c r="A436" s="66" t="s">
        <v>502</v>
      </c>
      <c r="B436" s="15" t="s">
        <v>150</v>
      </c>
      <c r="C436" s="16" t="s">
        <v>269</v>
      </c>
      <c r="D436" s="17"/>
      <c r="E436" s="20">
        <f>SUM(E437)</f>
        <v>15495.5</v>
      </c>
      <c r="F436" s="20">
        <f t="shared" ref="F436:G437" si="144">SUM(F437)</f>
        <v>14017.400000000001</v>
      </c>
      <c r="G436" s="20">
        <f t="shared" si="144"/>
        <v>14017.400000000001</v>
      </c>
    </row>
    <row r="437" spans="1:7" x14ac:dyDescent="0.25">
      <c r="A437" s="62" t="s">
        <v>293</v>
      </c>
      <c r="B437" s="16" t="s">
        <v>150</v>
      </c>
      <c r="C437" s="16" t="s">
        <v>294</v>
      </c>
      <c r="D437" s="65"/>
      <c r="E437" s="20">
        <f>SUM(E438)</f>
        <v>15495.5</v>
      </c>
      <c r="F437" s="20">
        <f t="shared" si="144"/>
        <v>14017.400000000001</v>
      </c>
      <c r="G437" s="20">
        <f t="shared" si="144"/>
        <v>14017.400000000001</v>
      </c>
    </row>
    <row r="438" spans="1:7" ht="30" x14ac:dyDescent="0.25">
      <c r="A438" s="86" t="s">
        <v>295</v>
      </c>
      <c r="B438" s="78" t="s">
        <v>150</v>
      </c>
      <c r="C438" s="78" t="s">
        <v>296</v>
      </c>
      <c r="D438" s="65"/>
      <c r="E438" s="20">
        <f>SUM(E439+E441)+E443</f>
        <v>15495.5</v>
      </c>
      <c r="F438" s="20">
        <f t="shared" ref="F438:G438" si="145">SUM(F439+F441)+F443</f>
        <v>14017.400000000001</v>
      </c>
      <c r="G438" s="20">
        <f t="shared" si="145"/>
        <v>14017.400000000001</v>
      </c>
    </row>
    <row r="439" spans="1:7" ht="30" x14ac:dyDescent="0.25">
      <c r="A439" s="62" t="s">
        <v>297</v>
      </c>
      <c r="B439" s="16" t="s">
        <v>150</v>
      </c>
      <c r="C439" s="16" t="s">
        <v>298</v>
      </c>
      <c r="D439" s="65"/>
      <c r="E439" s="20">
        <f>E440</f>
        <v>2000</v>
      </c>
      <c r="F439" s="20">
        <f t="shared" ref="F439:G439" si="146">F440</f>
        <v>1000</v>
      </c>
      <c r="G439" s="20">
        <f t="shared" si="146"/>
        <v>1000</v>
      </c>
    </row>
    <row r="440" spans="1:7" ht="30" x14ac:dyDescent="0.25">
      <c r="A440" s="1" t="s">
        <v>56</v>
      </c>
      <c r="B440" s="15" t="s">
        <v>150</v>
      </c>
      <c r="C440" s="16" t="s">
        <v>298</v>
      </c>
      <c r="D440" s="17">
        <v>600</v>
      </c>
      <c r="E440" s="20">
        <v>2000</v>
      </c>
      <c r="F440" s="20">
        <v>1000</v>
      </c>
      <c r="G440" s="20">
        <v>1000</v>
      </c>
    </row>
    <row r="441" spans="1:7" ht="30" x14ac:dyDescent="0.25">
      <c r="A441" s="1" t="s">
        <v>299</v>
      </c>
      <c r="B441" s="15" t="s">
        <v>150</v>
      </c>
      <c r="C441" s="16" t="s">
        <v>300</v>
      </c>
      <c r="D441" s="17"/>
      <c r="E441" s="20">
        <f>SUM(E442:E442)</f>
        <v>5526.8</v>
      </c>
      <c r="F441" s="20">
        <f>SUM(F442:F442)</f>
        <v>5526.8</v>
      </c>
      <c r="G441" s="20">
        <f>SUM(G442:G442)</f>
        <v>5526.8</v>
      </c>
    </row>
    <row r="442" spans="1:7" x14ac:dyDescent="0.25">
      <c r="A442" s="1" t="s">
        <v>29</v>
      </c>
      <c r="B442" s="15" t="s">
        <v>150</v>
      </c>
      <c r="C442" s="16" t="s">
        <v>300</v>
      </c>
      <c r="D442" s="17">
        <v>300</v>
      </c>
      <c r="E442" s="20">
        <v>5526.8</v>
      </c>
      <c r="F442" s="20">
        <v>5526.8</v>
      </c>
      <c r="G442" s="20">
        <v>5526.8</v>
      </c>
    </row>
    <row r="443" spans="1:7" ht="45" x14ac:dyDescent="0.25">
      <c r="A443" s="66" t="s">
        <v>559</v>
      </c>
      <c r="B443" s="15" t="s">
        <v>150</v>
      </c>
      <c r="C443" s="111" t="s">
        <v>395</v>
      </c>
      <c r="D443" s="17"/>
      <c r="E443" s="123">
        <f>E444+E445</f>
        <v>7968.7000000000007</v>
      </c>
      <c r="F443" s="123">
        <f t="shared" ref="F443:G443" si="147">F444+F445</f>
        <v>7490.6</v>
      </c>
      <c r="G443" s="123">
        <f t="shared" si="147"/>
        <v>7490.6</v>
      </c>
    </row>
    <row r="444" spans="1:7" ht="30" x14ac:dyDescent="0.25">
      <c r="A444" s="66" t="s">
        <v>21</v>
      </c>
      <c r="B444" s="15" t="s">
        <v>150</v>
      </c>
      <c r="C444" s="111" t="s">
        <v>395</v>
      </c>
      <c r="D444" s="17">
        <v>200</v>
      </c>
      <c r="E444" s="123">
        <v>40</v>
      </c>
      <c r="F444" s="123">
        <v>40</v>
      </c>
      <c r="G444" s="123">
        <v>40</v>
      </c>
    </row>
    <row r="445" spans="1:7" x14ac:dyDescent="0.25">
      <c r="A445" s="66" t="s">
        <v>29</v>
      </c>
      <c r="B445" s="15" t="s">
        <v>150</v>
      </c>
      <c r="C445" s="111" t="s">
        <v>395</v>
      </c>
      <c r="D445" s="17">
        <v>300</v>
      </c>
      <c r="E445" s="123">
        <f>7450.6+478.1</f>
        <v>7928.7000000000007</v>
      </c>
      <c r="F445" s="123">
        <v>7450.6</v>
      </c>
      <c r="G445" s="123">
        <v>7450.6</v>
      </c>
    </row>
    <row r="446" spans="1:7" x14ac:dyDescent="0.25">
      <c r="A446" s="9" t="s">
        <v>301</v>
      </c>
      <c r="B446" s="10" t="s">
        <v>302</v>
      </c>
      <c r="C446" s="119"/>
      <c r="D446" s="11"/>
      <c r="E446" s="97">
        <f>SUM(E447)</f>
        <v>106456.6</v>
      </c>
      <c r="F446" s="97">
        <f t="shared" ref="F446:G446" si="148">SUM(F447)</f>
        <v>90230.3</v>
      </c>
      <c r="G446" s="97">
        <f t="shared" si="148"/>
        <v>91717.799999999988</v>
      </c>
    </row>
    <row r="447" spans="1:7" ht="18.75" customHeight="1" x14ac:dyDescent="0.25">
      <c r="A447" s="66" t="s">
        <v>502</v>
      </c>
      <c r="B447" s="16" t="s">
        <v>302</v>
      </c>
      <c r="C447" s="16" t="s">
        <v>269</v>
      </c>
      <c r="D447" s="65"/>
      <c r="E447" s="98">
        <f>SUM(E448+E456)</f>
        <v>106456.6</v>
      </c>
      <c r="F447" s="98">
        <f>SUM(F448+F456)</f>
        <v>90230.3</v>
      </c>
      <c r="G447" s="98">
        <f>SUM(G448+G456)</f>
        <v>91717.799999999988</v>
      </c>
    </row>
    <row r="448" spans="1:7" x14ac:dyDescent="0.25">
      <c r="A448" s="62" t="s">
        <v>293</v>
      </c>
      <c r="B448" s="16" t="s">
        <v>302</v>
      </c>
      <c r="C448" s="78" t="s">
        <v>294</v>
      </c>
      <c r="D448" s="65"/>
      <c r="E448" s="98">
        <f>SUM(E449+E453)</f>
        <v>9282.6</v>
      </c>
      <c r="F448" s="98">
        <f>SUM(F449+F453)</f>
        <v>8865</v>
      </c>
      <c r="G448" s="98">
        <f>SUM(G449+G453)</f>
        <v>8865</v>
      </c>
    </row>
    <row r="449" spans="1:7" ht="30" x14ac:dyDescent="0.25">
      <c r="A449" s="86" t="s">
        <v>303</v>
      </c>
      <c r="B449" s="16" t="s">
        <v>302</v>
      </c>
      <c r="C449" s="78" t="s">
        <v>304</v>
      </c>
      <c r="D449" s="65"/>
      <c r="E449" s="98">
        <f>E450</f>
        <v>8895.6</v>
      </c>
      <c r="F449" s="98">
        <f t="shared" ref="F449:G449" si="149">F450</f>
        <v>8530.2000000000007</v>
      </c>
      <c r="G449" s="98">
        <f t="shared" si="149"/>
        <v>8530.2000000000007</v>
      </c>
    </row>
    <row r="450" spans="1:7" ht="45" x14ac:dyDescent="0.25">
      <c r="A450" s="66" t="s">
        <v>560</v>
      </c>
      <c r="B450" s="16" t="s">
        <v>302</v>
      </c>
      <c r="C450" s="88" t="s">
        <v>305</v>
      </c>
      <c r="D450" s="65"/>
      <c r="E450" s="123">
        <f>E451+E452</f>
        <v>8895.6</v>
      </c>
      <c r="F450" s="123">
        <f t="shared" ref="F450:G450" si="150">F451+F452</f>
        <v>8530.2000000000007</v>
      </c>
      <c r="G450" s="123">
        <f t="shared" si="150"/>
        <v>8530.2000000000007</v>
      </c>
    </row>
    <row r="451" spans="1:7" ht="60" x14ac:dyDescent="0.25">
      <c r="A451" s="66" t="s">
        <v>14</v>
      </c>
      <c r="B451" s="16" t="s">
        <v>302</v>
      </c>
      <c r="C451" s="88" t="s">
        <v>305</v>
      </c>
      <c r="D451" s="109">
        <v>100</v>
      </c>
      <c r="E451" s="123">
        <v>8651.6</v>
      </c>
      <c r="F451" s="123">
        <v>8530.2000000000007</v>
      </c>
      <c r="G451" s="123">
        <v>8530.2000000000007</v>
      </c>
    </row>
    <row r="452" spans="1:7" ht="30" x14ac:dyDescent="0.25">
      <c r="A452" s="66" t="s">
        <v>21</v>
      </c>
      <c r="B452" s="15" t="s">
        <v>302</v>
      </c>
      <c r="C452" s="88" t="s">
        <v>305</v>
      </c>
      <c r="D452" s="109">
        <v>200</v>
      </c>
      <c r="E452" s="123">
        <v>244</v>
      </c>
      <c r="F452" s="123">
        <v>0</v>
      </c>
      <c r="G452" s="123">
        <v>0</v>
      </c>
    </row>
    <row r="453" spans="1:7" x14ac:dyDescent="0.25">
      <c r="A453" s="90" t="s">
        <v>401</v>
      </c>
      <c r="B453" s="15" t="s">
        <v>302</v>
      </c>
      <c r="C453" s="111" t="s">
        <v>403</v>
      </c>
      <c r="D453" s="109"/>
      <c r="E453" s="20">
        <f t="shared" ref="E453:G454" si="151">E454</f>
        <v>387</v>
      </c>
      <c r="F453" s="20">
        <f t="shared" si="151"/>
        <v>334.8</v>
      </c>
      <c r="G453" s="20">
        <f t="shared" si="151"/>
        <v>334.8</v>
      </c>
    </row>
    <row r="454" spans="1:7" ht="30" x14ac:dyDescent="0.25">
      <c r="A454" s="90" t="s">
        <v>402</v>
      </c>
      <c r="B454" s="15" t="s">
        <v>302</v>
      </c>
      <c r="C454" s="111" t="s">
        <v>404</v>
      </c>
      <c r="D454" s="109"/>
      <c r="E454" s="20">
        <f t="shared" si="151"/>
        <v>387</v>
      </c>
      <c r="F454" s="20">
        <f t="shared" si="151"/>
        <v>334.8</v>
      </c>
      <c r="G454" s="20">
        <f t="shared" si="151"/>
        <v>334.8</v>
      </c>
    </row>
    <row r="455" spans="1:7" ht="30" x14ac:dyDescent="0.25">
      <c r="A455" s="66" t="s">
        <v>21</v>
      </c>
      <c r="B455" s="15" t="s">
        <v>302</v>
      </c>
      <c r="C455" s="111" t="s">
        <v>404</v>
      </c>
      <c r="D455" s="109">
        <v>200</v>
      </c>
      <c r="E455" s="123">
        <f>334.8+52.2</f>
        <v>387</v>
      </c>
      <c r="F455" s="123">
        <v>334.8</v>
      </c>
      <c r="G455" s="123">
        <v>334.8</v>
      </c>
    </row>
    <row r="456" spans="1:7" ht="45" x14ac:dyDescent="0.25">
      <c r="A456" s="66" t="s">
        <v>510</v>
      </c>
      <c r="B456" s="15" t="s">
        <v>302</v>
      </c>
      <c r="C456" s="78" t="s">
        <v>276</v>
      </c>
      <c r="D456" s="17"/>
      <c r="E456" s="20">
        <f>SUM(E457+E468)</f>
        <v>97174</v>
      </c>
      <c r="F456" s="20">
        <f t="shared" ref="F456:G456" si="152">SUM(F457+F468)</f>
        <v>81365.3</v>
      </c>
      <c r="G456" s="20">
        <f t="shared" si="152"/>
        <v>82852.799999999988</v>
      </c>
    </row>
    <row r="457" spans="1:7" x14ac:dyDescent="0.25">
      <c r="A457" s="1" t="s">
        <v>306</v>
      </c>
      <c r="B457" s="15" t="s">
        <v>302</v>
      </c>
      <c r="C457" s="78" t="s">
        <v>307</v>
      </c>
      <c r="D457" s="17"/>
      <c r="E457" s="20">
        <f>SUM(E458+E463)</f>
        <v>96668</v>
      </c>
      <c r="F457" s="20">
        <f>SUM(F458+F463)</f>
        <v>80859.3</v>
      </c>
      <c r="G457" s="20">
        <f>SUM(G458+G463)</f>
        <v>82346.799999999988</v>
      </c>
    </row>
    <row r="458" spans="1:7" ht="30" x14ac:dyDescent="0.25">
      <c r="A458" s="62" t="s">
        <v>42</v>
      </c>
      <c r="B458" s="15" t="s">
        <v>302</v>
      </c>
      <c r="C458" s="111" t="s">
        <v>308</v>
      </c>
      <c r="D458" s="17"/>
      <c r="E458" s="20">
        <f>SUM(E459:E462)</f>
        <v>29388.299999999996</v>
      </c>
      <c r="F458" s="20">
        <f>SUM(F459:F462)</f>
        <v>25155.7</v>
      </c>
      <c r="G458" s="20">
        <f>SUM(G459:G462)</f>
        <v>26111.4</v>
      </c>
    </row>
    <row r="459" spans="1:7" ht="60" x14ac:dyDescent="0.25">
      <c r="A459" s="1" t="s">
        <v>14</v>
      </c>
      <c r="B459" s="15" t="s">
        <v>302</v>
      </c>
      <c r="C459" s="111" t="s">
        <v>308</v>
      </c>
      <c r="D459" s="17">
        <v>100</v>
      </c>
      <c r="E459" s="123">
        <f>23019.2+4793.9</f>
        <v>27813.1</v>
      </c>
      <c r="F459" s="123">
        <v>23950.7</v>
      </c>
      <c r="G459" s="123">
        <v>24906.400000000001</v>
      </c>
    </row>
    <row r="460" spans="1:7" ht="30" x14ac:dyDescent="0.25">
      <c r="A460" s="1" t="s">
        <v>21</v>
      </c>
      <c r="B460" s="15" t="s">
        <v>302</v>
      </c>
      <c r="C460" s="111" t="s">
        <v>308</v>
      </c>
      <c r="D460" s="17">
        <v>200</v>
      </c>
      <c r="E460" s="123">
        <v>1250</v>
      </c>
      <c r="F460" s="123">
        <v>1204.4000000000001</v>
      </c>
      <c r="G460" s="123">
        <v>1204.4000000000001</v>
      </c>
    </row>
    <row r="461" spans="1:7" x14ac:dyDescent="0.25">
      <c r="A461" s="66" t="s">
        <v>29</v>
      </c>
      <c r="B461" s="15" t="s">
        <v>302</v>
      </c>
      <c r="C461" s="111" t="s">
        <v>308</v>
      </c>
      <c r="D461" s="17">
        <v>300</v>
      </c>
      <c r="E461" s="123">
        <v>324.60000000000002</v>
      </c>
      <c r="F461" s="123">
        <v>0</v>
      </c>
      <c r="G461" s="123">
        <v>0</v>
      </c>
    </row>
    <row r="462" spans="1:7" x14ac:dyDescent="0.25">
      <c r="A462" s="61" t="s">
        <v>22</v>
      </c>
      <c r="B462" s="15" t="s">
        <v>302</v>
      </c>
      <c r="C462" s="111" t="s">
        <v>308</v>
      </c>
      <c r="D462" s="17">
        <v>800</v>
      </c>
      <c r="E462" s="123">
        <v>0.6</v>
      </c>
      <c r="F462" s="123">
        <v>0.6</v>
      </c>
      <c r="G462" s="123">
        <v>0.6</v>
      </c>
    </row>
    <row r="463" spans="1:7" ht="30" x14ac:dyDescent="0.25">
      <c r="A463" s="61" t="s">
        <v>51</v>
      </c>
      <c r="B463" s="15" t="s">
        <v>302</v>
      </c>
      <c r="C463" s="111" t="s">
        <v>309</v>
      </c>
      <c r="D463" s="17"/>
      <c r="E463" s="20">
        <f>SUM(E464:E467)</f>
        <v>67279.7</v>
      </c>
      <c r="F463" s="20">
        <f t="shared" ref="F463:G463" si="153">SUM(F464:F467)</f>
        <v>55703.600000000006</v>
      </c>
      <c r="G463" s="20">
        <f t="shared" si="153"/>
        <v>56235.399999999994</v>
      </c>
    </row>
    <row r="464" spans="1:7" ht="60" x14ac:dyDescent="0.25">
      <c r="A464" s="1" t="s">
        <v>14</v>
      </c>
      <c r="B464" s="15" t="s">
        <v>302</v>
      </c>
      <c r="C464" s="111" t="s">
        <v>309</v>
      </c>
      <c r="D464" s="17">
        <v>100</v>
      </c>
      <c r="E464" s="123">
        <f>46937+13124</f>
        <v>60061</v>
      </c>
      <c r="F464" s="123">
        <v>48402.8</v>
      </c>
      <c r="G464" s="123">
        <v>48886.7</v>
      </c>
    </row>
    <row r="465" spans="1:7" ht="30" x14ac:dyDescent="0.25">
      <c r="A465" s="1" t="s">
        <v>21</v>
      </c>
      <c r="B465" s="15" t="s">
        <v>302</v>
      </c>
      <c r="C465" s="111" t="s">
        <v>309</v>
      </c>
      <c r="D465" s="17">
        <v>200</v>
      </c>
      <c r="E465" s="123">
        <v>2263.6999999999998</v>
      </c>
      <c r="F465" s="123">
        <v>2170.6</v>
      </c>
      <c r="G465" s="123">
        <v>2170.6</v>
      </c>
    </row>
    <row r="466" spans="1:7" ht="30" x14ac:dyDescent="0.25">
      <c r="A466" s="1" t="s">
        <v>56</v>
      </c>
      <c r="B466" s="15" t="s">
        <v>302</v>
      </c>
      <c r="C466" s="111" t="s">
        <v>309</v>
      </c>
      <c r="D466" s="17">
        <v>600</v>
      </c>
      <c r="E466" s="123">
        <v>4952.6000000000004</v>
      </c>
      <c r="F466" s="123">
        <v>5127.8</v>
      </c>
      <c r="G466" s="123">
        <v>5175.7</v>
      </c>
    </row>
    <row r="467" spans="1:7" x14ac:dyDescent="0.25">
      <c r="A467" s="61" t="s">
        <v>22</v>
      </c>
      <c r="B467" s="15" t="s">
        <v>302</v>
      </c>
      <c r="C467" s="111" t="s">
        <v>309</v>
      </c>
      <c r="D467" s="17">
        <v>800</v>
      </c>
      <c r="E467" s="123">
        <v>2.4</v>
      </c>
      <c r="F467" s="123">
        <v>2.4</v>
      </c>
      <c r="G467" s="123">
        <v>2.4</v>
      </c>
    </row>
    <row r="468" spans="1:7" ht="30" x14ac:dyDescent="0.25">
      <c r="A468" s="120" t="s">
        <v>405</v>
      </c>
      <c r="B468" s="15" t="s">
        <v>302</v>
      </c>
      <c r="C468" s="111" t="s">
        <v>278</v>
      </c>
      <c r="D468" s="17"/>
      <c r="E468" s="20">
        <f>E469</f>
        <v>506</v>
      </c>
      <c r="F468" s="20">
        <f t="shared" ref="F468:G469" si="154">F469</f>
        <v>506</v>
      </c>
      <c r="G468" s="20">
        <f t="shared" si="154"/>
        <v>506</v>
      </c>
    </row>
    <row r="469" spans="1:7" ht="30" x14ac:dyDescent="0.25">
      <c r="A469" s="120" t="s">
        <v>289</v>
      </c>
      <c r="B469" s="15" t="s">
        <v>302</v>
      </c>
      <c r="C469" s="111" t="s">
        <v>290</v>
      </c>
      <c r="D469" s="17"/>
      <c r="E469" s="20">
        <f>E470</f>
        <v>506</v>
      </c>
      <c r="F469" s="20">
        <f t="shared" si="154"/>
        <v>506</v>
      </c>
      <c r="G469" s="20">
        <f t="shared" si="154"/>
        <v>506</v>
      </c>
    </row>
    <row r="470" spans="1:7" ht="30" x14ac:dyDescent="0.25">
      <c r="A470" s="66" t="s">
        <v>56</v>
      </c>
      <c r="B470" s="15" t="s">
        <v>302</v>
      </c>
      <c r="C470" s="111" t="s">
        <v>290</v>
      </c>
      <c r="D470" s="17">
        <v>600</v>
      </c>
      <c r="E470" s="123">
        <v>506</v>
      </c>
      <c r="F470" s="123">
        <v>506</v>
      </c>
      <c r="G470" s="123">
        <v>506</v>
      </c>
    </row>
    <row r="471" spans="1:7" x14ac:dyDescent="0.25">
      <c r="A471" s="9" t="s">
        <v>321</v>
      </c>
      <c r="B471" s="10" t="s">
        <v>322</v>
      </c>
      <c r="C471" s="119"/>
      <c r="D471" s="11"/>
      <c r="E471" s="12">
        <f>SUM(E472+E488)</f>
        <v>293123.3</v>
      </c>
      <c r="F471" s="12">
        <f>SUM(F472+F488)</f>
        <v>256592.89999999997</v>
      </c>
      <c r="G471" s="12">
        <f>SUM(G472+G488)</f>
        <v>266813.8</v>
      </c>
    </row>
    <row r="472" spans="1:7" x14ac:dyDescent="0.25">
      <c r="A472" s="9" t="s">
        <v>323</v>
      </c>
      <c r="B472" s="10" t="s">
        <v>324</v>
      </c>
      <c r="C472" s="14"/>
      <c r="D472" s="11"/>
      <c r="E472" s="12">
        <f>SUM(E473)</f>
        <v>234998.39999999999</v>
      </c>
      <c r="F472" s="12">
        <f t="shared" ref="F472:G472" si="155">SUM(F473)</f>
        <v>204996.09999999998</v>
      </c>
      <c r="G472" s="12">
        <f t="shared" si="155"/>
        <v>213305.1</v>
      </c>
    </row>
    <row r="473" spans="1:7" ht="30" x14ac:dyDescent="0.25">
      <c r="A473" s="117" t="s">
        <v>511</v>
      </c>
      <c r="B473" s="15" t="s">
        <v>324</v>
      </c>
      <c r="C473" s="121" t="s">
        <v>315</v>
      </c>
      <c r="D473" s="17"/>
      <c r="E473" s="59">
        <f>E474+E480</f>
        <v>234998.39999999999</v>
      </c>
      <c r="F473" s="59">
        <f>F474+F480</f>
        <v>204996.09999999998</v>
      </c>
      <c r="G473" s="59">
        <f>G474+G480</f>
        <v>213305.1</v>
      </c>
    </row>
    <row r="474" spans="1:7" x14ac:dyDescent="0.25">
      <c r="A474" s="1" t="s">
        <v>599</v>
      </c>
      <c r="B474" s="15" t="s">
        <v>324</v>
      </c>
      <c r="C474" s="111" t="s">
        <v>325</v>
      </c>
      <c r="D474" s="17"/>
      <c r="E474" s="59">
        <f>E475+E478</f>
        <v>58364.899999999994</v>
      </c>
      <c r="F474" s="59">
        <f t="shared" ref="F474:G474" si="156">F475+F478</f>
        <v>51459.7</v>
      </c>
      <c r="G474" s="59">
        <f t="shared" si="156"/>
        <v>53305.599999999999</v>
      </c>
    </row>
    <row r="475" spans="1:7" x14ac:dyDescent="0.25">
      <c r="A475" s="1" t="s">
        <v>326</v>
      </c>
      <c r="B475" s="15" t="s">
        <v>324</v>
      </c>
      <c r="C475" s="111" t="s">
        <v>327</v>
      </c>
      <c r="D475" s="17"/>
      <c r="E475" s="59">
        <f>E476</f>
        <v>52864.899999999994</v>
      </c>
      <c r="F475" s="59">
        <f t="shared" ref="F475:G475" si="157">F476</f>
        <v>51459.7</v>
      </c>
      <c r="G475" s="59">
        <f t="shared" si="157"/>
        <v>53305.599999999999</v>
      </c>
    </row>
    <row r="476" spans="1:7" ht="30" x14ac:dyDescent="0.25">
      <c r="A476" s="117" t="s">
        <v>51</v>
      </c>
      <c r="B476" s="15" t="s">
        <v>324</v>
      </c>
      <c r="C476" s="111" t="s">
        <v>328</v>
      </c>
      <c r="D476" s="17"/>
      <c r="E476" s="59">
        <f>E477</f>
        <v>52864.899999999994</v>
      </c>
      <c r="F476" s="59">
        <f t="shared" ref="F476:G476" si="158">F477</f>
        <v>51459.7</v>
      </c>
      <c r="G476" s="59">
        <f t="shared" si="158"/>
        <v>53305.599999999999</v>
      </c>
    </row>
    <row r="477" spans="1:7" ht="30" x14ac:dyDescent="0.25">
      <c r="A477" s="1" t="s">
        <v>56</v>
      </c>
      <c r="B477" s="15" t="s">
        <v>324</v>
      </c>
      <c r="C477" s="111" t="s">
        <v>328</v>
      </c>
      <c r="D477" s="17">
        <v>600</v>
      </c>
      <c r="E477" s="20">
        <f>50217.7+1455+1192.2</f>
        <v>52864.899999999994</v>
      </c>
      <c r="F477" s="20">
        <v>51459.7</v>
      </c>
      <c r="G477" s="20">
        <v>53305.599999999999</v>
      </c>
    </row>
    <row r="478" spans="1:7" ht="30" x14ac:dyDescent="0.25">
      <c r="A478" s="66" t="s">
        <v>512</v>
      </c>
      <c r="B478" s="15" t="s">
        <v>324</v>
      </c>
      <c r="C478" s="111" t="s">
        <v>513</v>
      </c>
      <c r="D478" s="17"/>
      <c r="E478" s="123">
        <f>E479</f>
        <v>5500</v>
      </c>
      <c r="F478" s="123">
        <f t="shared" ref="F478:G478" si="159">F479</f>
        <v>0</v>
      </c>
      <c r="G478" s="123">
        <f t="shared" si="159"/>
        <v>0</v>
      </c>
    </row>
    <row r="479" spans="1:7" ht="30" x14ac:dyDescent="0.25">
      <c r="A479" s="66" t="s">
        <v>56</v>
      </c>
      <c r="B479" s="15" t="s">
        <v>324</v>
      </c>
      <c r="C479" s="111" t="s">
        <v>513</v>
      </c>
      <c r="D479" s="17">
        <v>600</v>
      </c>
      <c r="E479" s="123">
        <f>500+5000</f>
        <v>5500</v>
      </c>
      <c r="F479" s="20">
        <v>0</v>
      </c>
      <c r="G479" s="20">
        <v>0</v>
      </c>
    </row>
    <row r="480" spans="1:7" ht="30" x14ac:dyDescent="0.25">
      <c r="A480" s="1" t="s">
        <v>329</v>
      </c>
      <c r="B480" s="15" t="s">
        <v>324</v>
      </c>
      <c r="C480" s="111" t="s">
        <v>330</v>
      </c>
      <c r="D480" s="16"/>
      <c r="E480" s="59">
        <f>SUM(E481)</f>
        <v>176633.5</v>
      </c>
      <c r="F480" s="59">
        <f t="shared" ref="F480:G486" si="160">SUM(F481)</f>
        <v>153536.4</v>
      </c>
      <c r="G480" s="59">
        <f t="shared" si="160"/>
        <v>159999.5</v>
      </c>
    </row>
    <row r="481" spans="1:7" ht="30" x14ac:dyDescent="0.25">
      <c r="A481" s="1" t="s">
        <v>331</v>
      </c>
      <c r="B481" s="15" t="s">
        <v>324</v>
      </c>
      <c r="C481" s="111" t="s">
        <v>332</v>
      </c>
      <c r="D481" s="16"/>
      <c r="E481" s="59">
        <f>SUM(E486)+E482+E484</f>
        <v>176633.5</v>
      </c>
      <c r="F481" s="59">
        <f t="shared" ref="F481:G481" si="161">SUM(F486)+F482+F484</f>
        <v>153536.4</v>
      </c>
      <c r="G481" s="59">
        <f t="shared" si="161"/>
        <v>159999.5</v>
      </c>
    </row>
    <row r="482" spans="1:7" ht="45" x14ac:dyDescent="0.25">
      <c r="A482" s="90" t="s">
        <v>575</v>
      </c>
      <c r="B482" s="75" t="s">
        <v>324</v>
      </c>
      <c r="C482" s="75" t="s">
        <v>564</v>
      </c>
      <c r="D482" s="15"/>
      <c r="E482" s="59">
        <f>E483</f>
        <v>468.79999999999995</v>
      </c>
      <c r="F482" s="59">
        <f t="shared" ref="F482:G482" si="162">F483</f>
        <v>464</v>
      </c>
      <c r="G482" s="59">
        <f t="shared" si="162"/>
        <v>1955</v>
      </c>
    </row>
    <row r="483" spans="1:7" ht="30" x14ac:dyDescent="0.25">
      <c r="A483" s="66" t="s">
        <v>56</v>
      </c>
      <c r="B483" s="75" t="s">
        <v>324</v>
      </c>
      <c r="C483" s="75" t="s">
        <v>564</v>
      </c>
      <c r="D483" s="15" t="s">
        <v>275</v>
      </c>
      <c r="E483" s="59">
        <f>39.4+429.4</f>
        <v>468.79999999999995</v>
      </c>
      <c r="F483" s="59">
        <f>46.1+417.9</f>
        <v>464</v>
      </c>
      <c r="G483" s="59">
        <f>103.7+1851.3</f>
        <v>1955</v>
      </c>
    </row>
    <row r="484" spans="1:7" ht="30" x14ac:dyDescent="0.25">
      <c r="A484" s="66" t="s">
        <v>573</v>
      </c>
      <c r="B484" s="15" t="s">
        <v>324</v>
      </c>
      <c r="C484" s="16" t="s">
        <v>565</v>
      </c>
      <c r="D484" s="17"/>
      <c r="E484" s="59">
        <f>E485</f>
        <v>424.59999999999997</v>
      </c>
      <c r="F484" s="59">
        <f t="shared" ref="F484:G484" si="163">F485</f>
        <v>0</v>
      </c>
      <c r="G484" s="59">
        <f t="shared" si="163"/>
        <v>0</v>
      </c>
    </row>
    <row r="485" spans="1:7" ht="30" x14ac:dyDescent="0.25">
      <c r="A485" s="66" t="s">
        <v>56</v>
      </c>
      <c r="B485" s="15" t="s">
        <v>324</v>
      </c>
      <c r="C485" s="16" t="s">
        <v>565</v>
      </c>
      <c r="D485" s="17">
        <v>600</v>
      </c>
      <c r="E485" s="59">
        <f>113.2+311.4</f>
        <v>424.59999999999997</v>
      </c>
      <c r="F485" s="59">
        <v>0</v>
      </c>
      <c r="G485" s="59">
        <v>0</v>
      </c>
    </row>
    <row r="486" spans="1:7" ht="30" x14ac:dyDescent="0.25">
      <c r="A486" s="117" t="s">
        <v>51</v>
      </c>
      <c r="B486" s="15" t="s">
        <v>324</v>
      </c>
      <c r="C486" s="16" t="s">
        <v>333</v>
      </c>
      <c r="D486" s="16"/>
      <c r="E486" s="59">
        <f>SUM(E487)</f>
        <v>175740.1</v>
      </c>
      <c r="F486" s="59">
        <f t="shared" si="160"/>
        <v>153072.4</v>
      </c>
      <c r="G486" s="59">
        <f t="shared" si="160"/>
        <v>158044.5</v>
      </c>
    </row>
    <row r="487" spans="1:7" ht="30" x14ac:dyDescent="0.25">
      <c r="A487" s="1" t="s">
        <v>56</v>
      </c>
      <c r="B487" s="15" t="s">
        <v>324</v>
      </c>
      <c r="C487" s="16" t="s">
        <v>333</v>
      </c>
      <c r="D487" s="17">
        <v>600</v>
      </c>
      <c r="E487" s="123">
        <f>161659.7+11771.1+2309.3</f>
        <v>175740.1</v>
      </c>
      <c r="F487" s="123">
        <v>153072.4</v>
      </c>
      <c r="G487" s="123">
        <v>158044.5</v>
      </c>
    </row>
    <row r="488" spans="1:7" x14ac:dyDescent="0.25">
      <c r="A488" s="9" t="s">
        <v>334</v>
      </c>
      <c r="B488" s="10" t="s">
        <v>335</v>
      </c>
      <c r="C488" s="14"/>
      <c r="D488" s="14"/>
      <c r="E488" s="12">
        <f>SUM(E489)</f>
        <v>58124.899999999994</v>
      </c>
      <c r="F488" s="12">
        <f t="shared" ref="F488:G488" si="164">SUM(F489)</f>
        <v>51596.800000000003</v>
      </c>
      <c r="G488" s="12">
        <f t="shared" si="164"/>
        <v>53508.7</v>
      </c>
    </row>
    <row r="489" spans="1:7" ht="30" x14ac:dyDescent="0.25">
      <c r="A489" s="117" t="s">
        <v>514</v>
      </c>
      <c r="B489" s="15" t="s">
        <v>335</v>
      </c>
      <c r="C489" s="121" t="s">
        <v>315</v>
      </c>
      <c r="D489" s="16"/>
      <c r="E489" s="59">
        <f>E490+E494</f>
        <v>58124.899999999994</v>
      </c>
      <c r="F489" s="59">
        <f>F490+F494</f>
        <v>51596.800000000003</v>
      </c>
      <c r="G489" s="59">
        <f>G490+G494</f>
        <v>53508.7</v>
      </c>
    </row>
    <row r="490" spans="1:7" x14ac:dyDescent="0.25">
      <c r="A490" s="79" t="s">
        <v>336</v>
      </c>
      <c r="B490" s="75" t="s">
        <v>335</v>
      </c>
      <c r="C490" s="75" t="s">
        <v>337</v>
      </c>
      <c r="D490" s="16"/>
      <c r="E490" s="20">
        <f>SUM(E491)</f>
        <v>3468</v>
      </c>
      <c r="F490" s="20">
        <f t="shared" ref="F490:G491" si="165">SUM(F491)</f>
        <v>698</v>
      </c>
      <c r="G490" s="20">
        <f t="shared" si="165"/>
        <v>698</v>
      </c>
    </row>
    <row r="491" spans="1:7" ht="30" x14ac:dyDescent="0.25">
      <c r="A491" s="79" t="s">
        <v>338</v>
      </c>
      <c r="B491" s="75" t="s">
        <v>335</v>
      </c>
      <c r="C491" s="75" t="s">
        <v>339</v>
      </c>
      <c r="D491" s="16"/>
      <c r="E491" s="20">
        <f>SUM(E492)</f>
        <v>3468</v>
      </c>
      <c r="F491" s="20">
        <f t="shared" si="165"/>
        <v>698</v>
      </c>
      <c r="G491" s="20">
        <f t="shared" si="165"/>
        <v>698</v>
      </c>
    </row>
    <row r="492" spans="1:7" x14ac:dyDescent="0.25">
      <c r="A492" s="1" t="s">
        <v>340</v>
      </c>
      <c r="B492" s="75" t="s">
        <v>335</v>
      </c>
      <c r="C492" s="75" t="s">
        <v>341</v>
      </c>
      <c r="D492" s="75"/>
      <c r="E492" s="20">
        <f>SUM(E493:E493)</f>
        <v>3468</v>
      </c>
      <c r="F492" s="20">
        <f>SUM(F493:F493)</f>
        <v>698</v>
      </c>
      <c r="G492" s="20">
        <f>SUM(G493:G493)</f>
        <v>698</v>
      </c>
    </row>
    <row r="493" spans="1:7" ht="30" x14ac:dyDescent="0.25">
      <c r="A493" s="1" t="s">
        <v>21</v>
      </c>
      <c r="B493" s="75" t="s">
        <v>335</v>
      </c>
      <c r="C493" s="75" t="s">
        <v>341</v>
      </c>
      <c r="D493" s="16" t="s">
        <v>48</v>
      </c>
      <c r="E493" s="123">
        <v>3468</v>
      </c>
      <c r="F493" s="123">
        <v>698</v>
      </c>
      <c r="G493" s="123">
        <v>698</v>
      </c>
    </row>
    <row r="494" spans="1:7" ht="45" x14ac:dyDescent="0.25">
      <c r="A494" s="66" t="s">
        <v>515</v>
      </c>
      <c r="B494" s="15" t="s">
        <v>324</v>
      </c>
      <c r="C494" s="16" t="s">
        <v>342</v>
      </c>
      <c r="D494" s="17"/>
      <c r="E494" s="59">
        <f>E495+E501</f>
        <v>54656.899999999994</v>
      </c>
      <c r="F494" s="59">
        <f>F495+F501</f>
        <v>50898.8</v>
      </c>
      <c r="G494" s="59">
        <f>G495+G501</f>
        <v>52810.7</v>
      </c>
    </row>
    <row r="495" spans="1:7" x14ac:dyDescent="0.25">
      <c r="A495" s="1" t="s">
        <v>343</v>
      </c>
      <c r="B495" s="15" t="s">
        <v>335</v>
      </c>
      <c r="C495" s="16" t="s">
        <v>344</v>
      </c>
      <c r="D495" s="16"/>
      <c r="E495" s="20">
        <f>SUM(E496+E499)</f>
        <v>50640.899999999994</v>
      </c>
      <c r="F495" s="20">
        <f>SUM(F496+F499)</f>
        <v>49085.3</v>
      </c>
      <c r="G495" s="20">
        <f>SUM(G496+G499)</f>
        <v>50997.2</v>
      </c>
    </row>
    <row r="496" spans="1:7" ht="30" x14ac:dyDescent="0.25">
      <c r="A496" s="62" t="s">
        <v>42</v>
      </c>
      <c r="B496" s="15" t="s">
        <v>335</v>
      </c>
      <c r="C496" s="16" t="s">
        <v>345</v>
      </c>
      <c r="D496" s="16"/>
      <c r="E496" s="20">
        <f>SUM(E497:E498)</f>
        <v>9118.7000000000007</v>
      </c>
      <c r="F496" s="20">
        <f>SUM(F497:F498)</f>
        <v>8010.8</v>
      </c>
      <c r="G496" s="20">
        <f>SUM(G497:G498)</f>
        <v>8313</v>
      </c>
    </row>
    <row r="497" spans="1:7" ht="60" x14ac:dyDescent="0.25">
      <c r="A497" s="1" t="s">
        <v>14</v>
      </c>
      <c r="B497" s="15" t="s">
        <v>335</v>
      </c>
      <c r="C497" s="16" t="s">
        <v>345</v>
      </c>
      <c r="D497" s="16" t="s">
        <v>47</v>
      </c>
      <c r="E497" s="123">
        <f>7312.6+1388.2</f>
        <v>8700.8000000000011</v>
      </c>
      <c r="F497" s="123">
        <v>7607.3</v>
      </c>
      <c r="G497" s="123">
        <v>7909.5</v>
      </c>
    </row>
    <row r="498" spans="1:7" ht="30" x14ac:dyDescent="0.25">
      <c r="A498" s="1" t="s">
        <v>21</v>
      </c>
      <c r="B498" s="15" t="s">
        <v>335</v>
      </c>
      <c r="C498" s="16" t="s">
        <v>345</v>
      </c>
      <c r="D498" s="16" t="s">
        <v>48</v>
      </c>
      <c r="E498" s="123">
        <v>417.9</v>
      </c>
      <c r="F498" s="123">
        <v>403.5</v>
      </c>
      <c r="G498" s="123">
        <v>403.5</v>
      </c>
    </row>
    <row r="499" spans="1:7" ht="30" x14ac:dyDescent="0.25">
      <c r="A499" s="61" t="s">
        <v>51</v>
      </c>
      <c r="B499" s="15" t="s">
        <v>335</v>
      </c>
      <c r="C499" s="16" t="s">
        <v>527</v>
      </c>
      <c r="D499" s="16"/>
      <c r="E499" s="20">
        <f>E500</f>
        <v>41522.199999999997</v>
      </c>
      <c r="F499" s="20">
        <f t="shared" ref="F499:G499" si="166">F500</f>
        <v>41074.5</v>
      </c>
      <c r="G499" s="20">
        <f t="shared" si="166"/>
        <v>42684.2</v>
      </c>
    </row>
    <row r="500" spans="1:7" ht="30" x14ac:dyDescent="0.25">
      <c r="A500" s="1" t="s">
        <v>56</v>
      </c>
      <c r="B500" s="15" t="s">
        <v>335</v>
      </c>
      <c r="C500" s="16" t="s">
        <v>527</v>
      </c>
      <c r="D500" s="16" t="s">
        <v>275</v>
      </c>
      <c r="E500" s="123">
        <f>39583.1+1939.1</f>
        <v>41522.199999999997</v>
      </c>
      <c r="F500" s="123">
        <v>41074.5</v>
      </c>
      <c r="G500" s="123">
        <v>42684.2</v>
      </c>
    </row>
    <row r="501" spans="1:7" ht="30" x14ac:dyDescent="0.25">
      <c r="A501" s="1" t="s">
        <v>346</v>
      </c>
      <c r="B501" s="15" t="s">
        <v>335</v>
      </c>
      <c r="C501" s="16" t="s">
        <v>347</v>
      </c>
      <c r="D501" s="16"/>
      <c r="E501" s="20">
        <f>E502</f>
        <v>4016</v>
      </c>
      <c r="F501" s="20">
        <f t="shared" ref="F501:G501" si="167">F502</f>
        <v>1813.5</v>
      </c>
      <c r="G501" s="20">
        <f t="shared" si="167"/>
        <v>1813.5</v>
      </c>
    </row>
    <row r="502" spans="1:7" ht="30" x14ac:dyDescent="0.25">
      <c r="A502" s="61" t="s">
        <v>348</v>
      </c>
      <c r="B502" s="15" t="s">
        <v>335</v>
      </c>
      <c r="C502" s="16" t="s">
        <v>349</v>
      </c>
      <c r="D502" s="17"/>
      <c r="E502" s="20">
        <f>SUM(E503:E504)</f>
        <v>4016</v>
      </c>
      <c r="F502" s="20">
        <f t="shared" ref="F502:G502" si="168">SUM(F503:F504)</f>
        <v>1813.5</v>
      </c>
      <c r="G502" s="20">
        <f t="shared" si="168"/>
        <v>1813.5</v>
      </c>
    </row>
    <row r="503" spans="1:7" x14ac:dyDescent="0.25">
      <c r="A503" s="1" t="s">
        <v>29</v>
      </c>
      <c r="B503" s="15" t="s">
        <v>335</v>
      </c>
      <c r="C503" s="16" t="s">
        <v>349</v>
      </c>
      <c r="D503" s="17">
        <v>300</v>
      </c>
      <c r="E503" s="123">
        <v>516</v>
      </c>
      <c r="F503" s="123">
        <v>516</v>
      </c>
      <c r="G503" s="123">
        <v>516</v>
      </c>
    </row>
    <row r="504" spans="1:7" ht="30" x14ac:dyDescent="0.25">
      <c r="A504" s="1" t="s">
        <v>56</v>
      </c>
      <c r="B504" s="15" t="s">
        <v>335</v>
      </c>
      <c r="C504" s="16" t="s">
        <v>349</v>
      </c>
      <c r="D504" s="17">
        <v>600</v>
      </c>
      <c r="E504" s="123">
        <v>3500</v>
      </c>
      <c r="F504" s="123">
        <v>1297.5</v>
      </c>
      <c r="G504" s="123">
        <v>1297.5</v>
      </c>
    </row>
    <row r="505" spans="1:7" x14ac:dyDescent="0.25">
      <c r="A505" s="9" t="s">
        <v>30</v>
      </c>
      <c r="B505" s="10" t="s">
        <v>31</v>
      </c>
      <c r="C505" s="14"/>
      <c r="D505" s="11"/>
      <c r="E505" s="12">
        <f>SUM(E506+E510)+E533</f>
        <v>305876.8</v>
      </c>
      <c r="F505" s="12">
        <f>SUM(F506+F510)+F533</f>
        <v>304700.3</v>
      </c>
      <c r="G505" s="12">
        <f>SUM(G506+G510)+G533</f>
        <v>304808.69999999995</v>
      </c>
    </row>
    <row r="506" spans="1:7" x14ac:dyDescent="0.25">
      <c r="A506" s="9" t="s">
        <v>160</v>
      </c>
      <c r="B506" s="10" t="s">
        <v>161</v>
      </c>
      <c r="C506" s="14"/>
      <c r="D506" s="11"/>
      <c r="E506" s="12">
        <f>E507</f>
        <v>9255.1</v>
      </c>
      <c r="F506" s="12">
        <f t="shared" ref="F506:G508" si="169">F507</f>
        <v>9255.1</v>
      </c>
      <c r="G506" s="12">
        <f t="shared" si="169"/>
        <v>9255.1</v>
      </c>
    </row>
    <row r="507" spans="1:7" x14ac:dyDescent="0.25">
      <c r="A507" s="1" t="s">
        <v>10</v>
      </c>
      <c r="B507" s="15" t="s">
        <v>161</v>
      </c>
      <c r="C507" s="16" t="s">
        <v>11</v>
      </c>
      <c r="D507" s="17"/>
      <c r="E507" s="59">
        <f>E508</f>
        <v>9255.1</v>
      </c>
      <c r="F507" s="59">
        <f t="shared" si="169"/>
        <v>9255.1</v>
      </c>
      <c r="G507" s="59">
        <f t="shared" si="169"/>
        <v>9255.1</v>
      </c>
    </row>
    <row r="508" spans="1:7" x14ac:dyDescent="0.25">
      <c r="A508" s="1" t="s">
        <v>162</v>
      </c>
      <c r="B508" s="15" t="s">
        <v>161</v>
      </c>
      <c r="C508" s="16" t="s">
        <v>163</v>
      </c>
      <c r="D508" s="17"/>
      <c r="E508" s="59">
        <f>E509</f>
        <v>9255.1</v>
      </c>
      <c r="F508" s="59">
        <f t="shared" si="169"/>
        <v>9255.1</v>
      </c>
      <c r="G508" s="59">
        <f t="shared" si="169"/>
        <v>9255.1</v>
      </c>
    </row>
    <row r="509" spans="1:7" x14ac:dyDescent="0.25">
      <c r="A509" s="1" t="s">
        <v>29</v>
      </c>
      <c r="B509" s="15" t="s">
        <v>161</v>
      </c>
      <c r="C509" s="16" t="s">
        <v>163</v>
      </c>
      <c r="D509" s="17">
        <v>300</v>
      </c>
      <c r="E509" s="123">
        <v>9255.1</v>
      </c>
      <c r="F509" s="123">
        <v>9255.1</v>
      </c>
      <c r="G509" s="123">
        <v>9255.1</v>
      </c>
    </row>
    <row r="510" spans="1:7" x14ac:dyDescent="0.25">
      <c r="A510" s="9" t="s">
        <v>32</v>
      </c>
      <c r="B510" s="10" t="s">
        <v>33</v>
      </c>
      <c r="C510" s="14"/>
      <c r="D510" s="11"/>
      <c r="E510" s="12">
        <f>SUM(E511)+E524</f>
        <v>45742.8</v>
      </c>
      <c r="F510" s="12">
        <f t="shared" ref="F510:G510" si="170">SUM(F511)+F524</f>
        <v>40927.199999999997</v>
      </c>
      <c r="G510" s="12">
        <f t="shared" si="170"/>
        <v>41678.899999999994</v>
      </c>
    </row>
    <row r="511" spans="1:7" x14ac:dyDescent="0.25">
      <c r="A511" s="1" t="s">
        <v>10</v>
      </c>
      <c r="B511" s="15" t="s">
        <v>33</v>
      </c>
      <c r="C511" s="16" t="s">
        <v>11</v>
      </c>
      <c r="D511" s="17"/>
      <c r="E511" s="59">
        <f>E512+E514+E516+E518+E520+E522</f>
        <v>11215.4</v>
      </c>
      <c r="F511" s="59">
        <f t="shared" ref="F511:G511" si="171">F512+F514+F516+F518+F520+F522</f>
        <v>8402.7999999999993</v>
      </c>
      <c r="G511" s="59">
        <f t="shared" si="171"/>
        <v>8915.5999999999985</v>
      </c>
    </row>
    <row r="512" spans="1:7" ht="30" x14ac:dyDescent="0.25">
      <c r="A512" s="1" t="s">
        <v>164</v>
      </c>
      <c r="B512" s="15" t="s">
        <v>33</v>
      </c>
      <c r="C512" s="16" t="s">
        <v>165</v>
      </c>
      <c r="D512" s="17"/>
      <c r="E512" s="59">
        <f>E513</f>
        <v>1845.2</v>
      </c>
      <c r="F512" s="59">
        <f>F513</f>
        <v>2013.3</v>
      </c>
      <c r="G512" s="59">
        <f>G513</f>
        <v>2181.1999999999998</v>
      </c>
    </row>
    <row r="513" spans="1:7" x14ac:dyDescent="0.25">
      <c r="A513" s="1" t="s">
        <v>29</v>
      </c>
      <c r="B513" s="15" t="s">
        <v>33</v>
      </c>
      <c r="C513" s="16" t="s">
        <v>165</v>
      </c>
      <c r="D513" s="17">
        <v>300</v>
      </c>
      <c r="E513" s="123">
        <v>1845.2</v>
      </c>
      <c r="F513" s="123">
        <v>2013.3</v>
      </c>
      <c r="G513" s="123">
        <v>2181.1999999999998</v>
      </c>
    </row>
    <row r="514" spans="1:7" ht="30" x14ac:dyDescent="0.25">
      <c r="A514" s="1" t="s">
        <v>166</v>
      </c>
      <c r="B514" s="15" t="s">
        <v>33</v>
      </c>
      <c r="C514" s="16" t="s">
        <v>167</v>
      </c>
      <c r="D514" s="17"/>
      <c r="E514" s="59">
        <f>E515</f>
        <v>2982.7</v>
      </c>
      <c r="F514" s="59">
        <f>F515</f>
        <v>3672.3</v>
      </c>
      <c r="G514" s="59">
        <f>G515</f>
        <v>4017.2</v>
      </c>
    </row>
    <row r="515" spans="1:7" x14ac:dyDescent="0.25">
      <c r="A515" s="1" t="s">
        <v>29</v>
      </c>
      <c r="B515" s="15" t="s">
        <v>33</v>
      </c>
      <c r="C515" s="16" t="s">
        <v>167</v>
      </c>
      <c r="D515" s="17">
        <v>300</v>
      </c>
      <c r="E515" s="123">
        <v>2982.7</v>
      </c>
      <c r="F515" s="123">
        <v>3672.3</v>
      </c>
      <c r="G515" s="123">
        <v>4017.2</v>
      </c>
    </row>
    <row r="516" spans="1:7" ht="30" x14ac:dyDescent="0.25">
      <c r="A516" s="117" t="s">
        <v>34</v>
      </c>
      <c r="B516" s="15" t="s">
        <v>33</v>
      </c>
      <c r="C516" s="16" t="s">
        <v>35</v>
      </c>
      <c r="D516" s="17"/>
      <c r="E516" s="59">
        <f>E517</f>
        <v>287.5</v>
      </c>
      <c r="F516" s="59">
        <f>F517</f>
        <v>287.5</v>
      </c>
      <c r="G516" s="59">
        <f>G517</f>
        <v>287.5</v>
      </c>
    </row>
    <row r="517" spans="1:7" x14ac:dyDescent="0.25">
      <c r="A517" s="1" t="s">
        <v>29</v>
      </c>
      <c r="B517" s="15" t="s">
        <v>33</v>
      </c>
      <c r="C517" s="16" t="s">
        <v>35</v>
      </c>
      <c r="D517" s="17">
        <v>300</v>
      </c>
      <c r="E517" s="123">
        <v>287.5</v>
      </c>
      <c r="F517" s="123">
        <v>287.5</v>
      </c>
      <c r="G517" s="123">
        <v>287.5</v>
      </c>
    </row>
    <row r="518" spans="1:7" x14ac:dyDescent="0.25">
      <c r="A518" s="1" t="s">
        <v>168</v>
      </c>
      <c r="B518" s="15" t="s">
        <v>33</v>
      </c>
      <c r="C518" s="16" t="s">
        <v>169</v>
      </c>
      <c r="D518" s="17"/>
      <c r="E518" s="59">
        <f>E519</f>
        <v>1500</v>
      </c>
      <c r="F518" s="59">
        <f>F519</f>
        <v>931.9</v>
      </c>
      <c r="G518" s="59">
        <f>G519</f>
        <v>931.9</v>
      </c>
    </row>
    <row r="519" spans="1:7" ht="30" x14ac:dyDescent="0.25">
      <c r="A519" s="1" t="s">
        <v>56</v>
      </c>
      <c r="B519" s="15" t="s">
        <v>33</v>
      </c>
      <c r="C519" s="16" t="s">
        <v>169</v>
      </c>
      <c r="D519" s="17">
        <v>600</v>
      </c>
      <c r="E519" s="123">
        <v>1500</v>
      </c>
      <c r="F519" s="123">
        <v>931.9</v>
      </c>
      <c r="G519" s="123">
        <v>931.9</v>
      </c>
    </row>
    <row r="520" spans="1:7" x14ac:dyDescent="0.25">
      <c r="A520" s="1" t="s">
        <v>170</v>
      </c>
      <c r="B520" s="15" t="s">
        <v>33</v>
      </c>
      <c r="C520" s="16" t="s">
        <v>171</v>
      </c>
      <c r="D520" s="17"/>
      <c r="E520" s="59">
        <f>E521</f>
        <v>4500</v>
      </c>
      <c r="F520" s="59">
        <f>F521</f>
        <v>1397.8</v>
      </c>
      <c r="G520" s="59">
        <f>G521</f>
        <v>1397.8</v>
      </c>
    </row>
    <row r="521" spans="1:7" ht="30" x14ac:dyDescent="0.25">
      <c r="A521" s="1" t="s">
        <v>56</v>
      </c>
      <c r="B521" s="15" t="s">
        <v>33</v>
      </c>
      <c r="C521" s="16" t="s">
        <v>171</v>
      </c>
      <c r="D521" s="17">
        <v>600</v>
      </c>
      <c r="E521" s="123">
        <v>4500</v>
      </c>
      <c r="F521" s="123">
        <v>1397.8</v>
      </c>
      <c r="G521" s="123">
        <v>1397.8</v>
      </c>
    </row>
    <row r="522" spans="1:7" ht="60" x14ac:dyDescent="0.25">
      <c r="A522" s="66" t="s">
        <v>576</v>
      </c>
      <c r="B522" s="15" t="s">
        <v>33</v>
      </c>
      <c r="C522" s="16" t="s">
        <v>516</v>
      </c>
      <c r="D522" s="17"/>
      <c r="E522" s="123">
        <f>SUM(E523)</f>
        <v>100</v>
      </c>
      <c r="F522" s="123">
        <f t="shared" ref="F522:G522" si="172">SUM(F523)</f>
        <v>100</v>
      </c>
      <c r="G522" s="123">
        <f t="shared" si="172"/>
        <v>100</v>
      </c>
    </row>
    <row r="523" spans="1:7" x14ac:dyDescent="0.25">
      <c r="A523" s="117" t="s">
        <v>22</v>
      </c>
      <c r="B523" s="15" t="s">
        <v>33</v>
      </c>
      <c r="C523" s="16" t="s">
        <v>516</v>
      </c>
      <c r="D523" s="17">
        <v>800</v>
      </c>
      <c r="E523" s="123">
        <v>100</v>
      </c>
      <c r="F523" s="123">
        <v>100</v>
      </c>
      <c r="G523" s="123">
        <v>100</v>
      </c>
    </row>
    <row r="524" spans="1:7" ht="30" x14ac:dyDescent="0.25">
      <c r="A524" s="76" t="s">
        <v>455</v>
      </c>
      <c r="B524" s="78" t="s">
        <v>33</v>
      </c>
      <c r="C524" s="78" t="s">
        <v>220</v>
      </c>
      <c r="D524" s="85"/>
      <c r="E524" s="20">
        <f>E525+E529</f>
        <v>34527.4</v>
      </c>
      <c r="F524" s="20">
        <f>F525+F529</f>
        <v>32524.400000000001</v>
      </c>
      <c r="G524" s="20">
        <f>G525+G529</f>
        <v>32763.3</v>
      </c>
    </row>
    <row r="525" spans="1:7" ht="30" x14ac:dyDescent="0.25">
      <c r="A525" s="77" t="s">
        <v>367</v>
      </c>
      <c r="B525" s="78" t="s">
        <v>33</v>
      </c>
      <c r="C525" s="78" t="s">
        <v>368</v>
      </c>
      <c r="D525" s="85"/>
      <c r="E525" s="20">
        <f>E526</f>
        <v>600</v>
      </c>
      <c r="F525" s="20">
        <f t="shared" ref="F525:G527" si="173">F526</f>
        <v>500</v>
      </c>
      <c r="G525" s="20">
        <f t="shared" si="173"/>
        <v>500</v>
      </c>
    </row>
    <row r="526" spans="1:7" ht="30" x14ac:dyDescent="0.25">
      <c r="A526" s="77" t="s">
        <v>369</v>
      </c>
      <c r="B526" s="78" t="s">
        <v>33</v>
      </c>
      <c r="C526" s="78" t="s">
        <v>370</v>
      </c>
      <c r="D526" s="85"/>
      <c r="E526" s="20">
        <f>E527</f>
        <v>600</v>
      </c>
      <c r="F526" s="20">
        <f t="shared" si="173"/>
        <v>500</v>
      </c>
      <c r="G526" s="20">
        <f t="shared" si="173"/>
        <v>500</v>
      </c>
    </row>
    <row r="527" spans="1:7" ht="45" x14ac:dyDescent="0.25">
      <c r="A527" s="77" t="s">
        <v>371</v>
      </c>
      <c r="B527" s="78" t="s">
        <v>372</v>
      </c>
      <c r="C527" s="78" t="s">
        <v>373</v>
      </c>
      <c r="D527" s="85"/>
      <c r="E527" s="20">
        <f>E528</f>
        <v>600</v>
      </c>
      <c r="F527" s="20">
        <f t="shared" si="173"/>
        <v>500</v>
      </c>
      <c r="G527" s="20">
        <f t="shared" si="173"/>
        <v>500</v>
      </c>
    </row>
    <row r="528" spans="1:7" x14ac:dyDescent="0.25">
      <c r="A528" s="1" t="s">
        <v>29</v>
      </c>
      <c r="B528" s="78" t="s">
        <v>372</v>
      </c>
      <c r="C528" s="78" t="s">
        <v>373</v>
      </c>
      <c r="D528" s="85">
        <v>300</v>
      </c>
      <c r="E528" s="123">
        <v>600</v>
      </c>
      <c r="F528" s="123">
        <v>500</v>
      </c>
      <c r="G528" s="123">
        <v>500</v>
      </c>
    </row>
    <row r="529" spans="1:7" x14ac:dyDescent="0.25">
      <c r="A529" s="77" t="s">
        <v>374</v>
      </c>
      <c r="B529" s="78" t="s">
        <v>33</v>
      </c>
      <c r="C529" s="78" t="s">
        <v>375</v>
      </c>
      <c r="D529" s="85"/>
      <c r="E529" s="20">
        <f>E530</f>
        <v>33927.4</v>
      </c>
      <c r="F529" s="20">
        <f t="shared" ref="F529:G529" si="174">F530</f>
        <v>32024.400000000001</v>
      </c>
      <c r="G529" s="20">
        <f t="shared" si="174"/>
        <v>32263.3</v>
      </c>
    </row>
    <row r="530" spans="1:7" ht="45" x14ac:dyDescent="0.25">
      <c r="A530" s="76" t="s">
        <v>417</v>
      </c>
      <c r="B530" s="78" t="s">
        <v>33</v>
      </c>
      <c r="C530" s="78" t="s">
        <v>376</v>
      </c>
      <c r="D530" s="85"/>
      <c r="E530" s="20">
        <f>E531</f>
        <v>33927.4</v>
      </c>
      <c r="F530" s="20">
        <f t="shared" ref="F530:G530" si="175">F531</f>
        <v>32024.400000000001</v>
      </c>
      <c r="G530" s="20">
        <f t="shared" si="175"/>
        <v>32263.3</v>
      </c>
    </row>
    <row r="531" spans="1:7" x14ac:dyDescent="0.25">
      <c r="A531" s="76" t="s">
        <v>418</v>
      </c>
      <c r="B531" s="88" t="s">
        <v>33</v>
      </c>
      <c r="C531" s="88" t="s">
        <v>413</v>
      </c>
      <c r="D531" s="89"/>
      <c r="E531" s="20">
        <f>E532</f>
        <v>33927.4</v>
      </c>
      <c r="F531" s="20">
        <f t="shared" ref="F531:G531" si="176">F532</f>
        <v>32024.400000000001</v>
      </c>
      <c r="G531" s="20">
        <f t="shared" si="176"/>
        <v>32263.3</v>
      </c>
    </row>
    <row r="532" spans="1:7" x14ac:dyDescent="0.25">
      <c r="A532" s="66" t="s">
        <v>29</v>
      </c>
      <c r="B532" s="88" t="s">
        <v>33</v>
      </c>
      <c r="C532" s="88" t="s">
        <v>413</v>
      </c>
      <c r="D532" s="89">
        <v>300</v>
      </c>
      <c r="E532" s="123">
        <f>SUM(500+5643.6)+1535.6+26248.2</f>
        <v>33927.4</v>
      </c>
      <c r="F532" s="123">
        <f>500+1421.5+30102.9</f>
        <v>32024.400000000001</v>
      </c>
      <c r="G532" s="123">
        <f>500+1435.8+30327.5</f>
        <v>32263.3</v>
      </c>
    </row>
    <row r="533" spans="1:7" x14ac:dyDescent="0.25">
      <c r="A533" s="82" t="s">
        <v>310</v>
      </c>
      <c r="B533" s="24" t="s">
        <v>311</v>
      </c>
      <c r="C533" s="24"/>
      <c r="D533" s="24"/>
      <c r="E533" s="12">
        <f>E534+E541</f>
        <v>250878.9</v>
      </c>
      <c r="F533" s="12">
        <f t="shared" ref="F533:G533" si="177">F534+F541</f>
        <v>254518</v>
      </c>
      <c r="G533" s="12">
        <f t="shared" si="177"/>
        <v>253874.69999999998</v>
      </c>
    </row>
    <row r="534" spans="1:7" ht="30" x14ac:dyDescent="0.25">
      <c r="A534" s="76" t="s">
        <v>455</v>
      </c>
      <c r="B534" s="88" t="s">
        <v>311</v>
      </c>
      <c r="C534" s="88" t="s">
        <v>220</v>
      </c>
      <c r="D534" s="24"/>
      <c r="E534" s="59">
        <f>E535</f>
        <v>64867.100000000006</v>
      </c>
      <c r="F534" s="59">
        <f t="shared" ref="F534:G534" si="178">F535</f>
        <v>64867.100000000006</v>
      </c>
      <c r="G534" s="59">
        <f t="shared" si="178"/>
        <v>64867.100000000006</v>
      </c>
    </row>
    <row r="535" spans="1:7" ht="45" x14ac:dyDescent="0.25">
      <c r="A535" s="66" t="s">
        <v>529</v>
      </c>
      <c r="B535" s="88" t="s">
        <v>311</v>
      </c>
      <c r="C535" s="16" t="s">
        <v>532</v>
      </c>
      <c r="D535" s="88"/>
      <c r="E535" s="59">
        <f>SUM(E536)</f>
        <v>64867.100000000006</v>
      </c>
      <c r="F535" s="59">
        <f t="shared" ref="F535:G535" si="179">SUM(F536)</f>
        <v>64867.100000000006</v>
      </c>
      <c r="G535" s="59">
        <f t="shared" si="179"/>
        <v>64867.100000000006</v>
      </c>
    </row>
    <row r="536" spans="1:7" ht="45" x14ac:dyDescent="0.25">
      <c r="A536" s="117" t="s">
        <v>530</v>
      </c>
      <c r="B536" s="88" t="s">
        <v>311</v>
      </c>
      <c r="C536" s="16" t="s">
        <v>533</v>
      </c>
      <c r="D536" s="88"/>
      <c r="E536" s="59">
        <f>E537+E539</f>
        <v>64867.100000000006</v>
      </c>
      <c r="F536" s="59">
        <f t="shared" ref="F536:G536" si="180">F537+F539</f>
        <v>64867.100000000006</v>
      </c>
      <c r="G536" s="59">
        <f t="shared" si="180"/>
        <v>64867.100000000006</v>
      </c>
    </row>
    <row r="537" spans="1:7" ht="45" x14ac:dyDescent="0.25">
      <c r="A537" s="93" t="s">
        <v>531</v>
      </c>
      <c r="B537" s="88" t="s">
        <v>311</v>
      </c>
      <c r="C537" s="16" t="s">
        <v>534</v>
      </c>
      <c r="D537" s="88"/>
      <c r="E537" s="59">
        <f>SUM(E538)</f>
        <v>64480.200000000004</v>
      </c>
      <c r="F537" s="59">
        <f t="shared" ref="F537:G537" si="181">SUM(F538)</f>
        <v>64480.200000000004</v>
      </c>
      <c r="G537" s="59">
        <f t="shared" si="181"/>
        <v>64480.200000000004</v>
      </c>
    </row>
    <row r="538" spans="1:7" ht="30" x14ac:dyDescent="0.25">
      <c r="A538" s="84" t="s">
        <v>74</v>
      </c>
      <c r="B538" s="88" t="s">
        <v>311</v>
      </c>
      <c r="C538" s="16" t="s">
        <v>534</v>
      </c>
      <c r="D538" s="88" t="s">
        <v>377</v>
      </c>
      <c r="E538" s="123">
        <f>65865.1-1384.9</f>
        <v>64480.200000000004</v>
      </c>
      <c r="F538" s="123">
        <f>65865.1-1384.9</f>
        <v>64480.200000000004</v>
      </c>
      <c r="G538" s="123">
        <f>38421.3+26058.9</f>
        <v>64480.200000000004</v>
      </c>
    </row>
    <row r="539" spans="1:7" ht="63" x14ac:dyDescent="0.25">
      <c r="A539" s="141" t="s">
        <v>566</v>
      </c>
      <c r="B539" s="88" t="s">
        <v>311</v>
      </c>
      <c r="C539" s="16" t="s">
        <v>567</v>
      </c>
      <c r="D539" s="88"/>
      <c r="E539" s="123">
        <f>E540</f>
        <v>386.9</v>
      </c>
      <c r="F539" s="123">
        <f>F540</f>
        <v>386.9</v>
      </c>
      <c r="G539" s="123">
        <f>G540</f>
        <v>386.9</v>
      </c>
    </row>
    <row r="540" spans="1:7" ht="30" x14ac:dyDescent="0.25">
      <c r="A540" s="66" t="s">
        <v>21</v>
      </c>
      <c r="B540" s="88" t="s">
        <v>311</v>
      </c>
      <c r="C540" s="16" t="s">
        <v>567</v>
      </c>
      <c r="D540" s="88" t="s">
        <v>48</v>
      </c>
      <c r="E540" s="123">
        <v>386.9</v>
      </c>
      <c r="F540" s="123">
        <v>386.9</v>
      </c>
      <c r="G540" s="123">
        <v>386.9</v>
      </c>
    </row>
    <row r="541" spans="1:7" ht="22.5" customHeight="1" x14ac:dyDescent="0.25">
      <c r="A541" s="66" t="s">
        <v>502</v>
      </c>
      <c r="B541" s="15" t="s">
        <v>311</v>
      </c>
      <c r="C541" s="16" t="s">
        <v>269</v>
      </c>
      <c r="D541" s="15"/>
      <c r="E541" s="20">
        <f>E542+E548</f>
        <v>186011.8</v>
      </c>
      <c r="F541" s="20">
        <f>F542+F548</f>
        <v>189650.9</v>
      </c>
      <c r="G541" s="20">
        <f>G542+G548</f>
        <v>189007.59999999998</v>
      </c>
    </row>
    <row r="542" spans="1:7" ht="30" x14ac:dyDescent="0.25">
      <c r="A542" s="61" t="s">
        <v>270</v>
      </c>
      <c r="B542" s="15" t="s">
        <v>311</v>
      </c>
      <c r="C542" s="16" t="s">
        <v>271</v>
      </c>
      <c r="D542" s="15"/>
      <c r="E542" s="20">
        <f>E543</f>
        <v>127866.4</v>
      </c>
      <c r="F542" s="20">
        <f t="shared" ref="F542:G543" si="182">F543</f>
        <v>127866.4</v>
      </c>
      <c r="G542" s="20">
        <f t="shared" si="182"/>
        <v>127866.4</v>
      </c>
    </row>
    <row r="543" spans="1:7" ht="45" x14ac:dyDescent="0.25">
      <c r="A543" s="61" t="s">
        <v>272</v>
      </c>
      <c r="B543" s="15" t="s">
        <v>311</v>
      </c>
      <c r="C543" s="16" t="s">
        <v>273</v>
      </c>
      <c r="D543" s="15"/>
      <c r="E543" s="20">
        <f>E544</f>
        <v>127866.4</v>
      </c>
      <c r="F543" s="20">
        <f t="shared" si="182"/>
        <v>127866.4</v>
      </c>
      <c r="G543" s="20">
        <f t="shared" si="182"/>
        <v>127866.4</v>
      </c>
    </row>
    <row r="544" spans="1:7" ht="60" x14ac:dyDescent="0.25">
      <c r="A544" s="63" t="s">
        <v>561</v>
      </c>
      <c r="B544" s="15" t="s">
        <v>311</v>
      </c>
      <c r="C544" s="16" t="s">
        <v>312</v>
      </c>
      <c r="D544" s="17"/>
      <c r="E544" s="123">
        <f>E547+E545+E546</f>
        <v>127866.4</v>
      </c>
      <c r="F544" s="123">
        <f t="shared" ref="F544:G544" si="183">F547+F545+F546</f>
        <v>127866.4</v>
      </c>
      <c r="G544" s="123">
        <f t="shared" si="183"/>
        <v>127866.4</v>
      </c>
    </row>
    <row r="545" spans="1:7" ht="30" x14ac:dyDescent="0.25">
      <c r="A545" s="63" t="s">
        <v>21</v>
      </c>
      <c r="B545" s="15" t="s">
        <v>311</v>
      </c>
      <c r="C545" s="16" t="s">
        <v>312</v>
      </c>
      <c r="D545" s="17">
        <v>200</v>
      </c>
      <c r="E545" s="123">
        <v>10</v>
      </c>
      <c r="F545" s="123"/>
      <c r="G545" s="123"/>
    </row>
    <row r="546" spans="1:7" x14ac:dyDescent="0.25">
      <c r="A546" s="63" t="s">
        <v>29</v>
      </c>
      <c r="B546" s="15" t="s">
        <v>311</v>
      </c>
      <c r="C546" s="16" t="s">
        <v>312</v>
      </c>
      <c r="D546" s="17">
        <v>300</v>
      </c>
      <c r="E546" s="123">
        <v>1100</v>
      </c>
      <c r="F546" s="123"/>
      <c r="G546" s="123"/>
    </row>
    <row r="547" spans="1:7" ht="30" x14ac:dyDescent="0.25">
      <c r="A547" s="66" t="s">
        <v>56</v>
      </c>
      <c r="B547" s="15" t="s">
        <v>311</v>
      </c>
      <c r="C547" s="16" t="s">
        <v>312</v>
      </c>
      <c r="D547" s="17">
        <v>600</v>
      </c>
      <c r="E547" s="123">
        <f>127866.4-1110</f>
        <v>126756.4</v>
      </c>
      <c r="F547" s="123">
        <v>127866.4</v>
      </c>
      <c r="G547" s="123">
        <v>127866.4</v>
      </c>
    </row>
    <row r="548" spans="1:7" x14ac:dyDescent="0.25">
      <c r="A548" s="61" t="s">
        <v>293</v>
      </c>
      <c r="B548" s="15" t="s">
        <v>311</v>
      </c>
      <c r="C548" s="16" t="s">
        <v>294</v>
      </c>
      <c r="D548" s="15"/>
      <c r="E548" s="98">
        <f>E549</f>
        <v>58145.4</v>
      </c>
      <c r="F548" s="98">
        <f t="shared" ref="F548:G548" si="184">F549</f>
        <v>61784.5</v>
      </c>
      <c r="G548" s="98">
        <f t="shared" si="184"/>
        <v>61141.2</v>
      </c>
    </row>
    <row r="549" spans="1:7" ht="30" x14ac:dyDescent="0.25">
      <c r="A549" s="86" t="s">
        <v>303</v>
      </c>
      <c r="B549" s="15" t="s">
        <v>311</v>
      </c>
      <c r="C549" s="16" t="s">
        <v>304</v>
      </c>
      <c r="D549" s="15"/>
      <c r="E549" s="98">
        <f>E556+E550+E553</f>
        <v>58145.4</v>
      </c>
      <c r="F549" s="98">
        <f t="shared" ref="F549:G549" si="185">F556+F550+F553</f>
        <v>61784.5</v>
      </c>
      <c r="G549" s="98">
        <f t="shared" si="185"/>
        <v>61141.2</v>
      </c>
    </row>
    <row r="550" spans="1:7" ht="60" x14ac:dyDescent="0.25">
      <c r="A550" s="66" t="s">
        <v>572</v>
      </c>
      <c r="B550" s="15" t="s">
        <v>311</v>
      </c>
      <c r="C550" s="16" t="s">
        <v>313</v>
      </c>
      <c r="D550" s="17"/>
      <c r="E550" s="123">
        <f>E551+E552</f>
        <v>318.39999999999998</v>
      </c>
      <c r="F550" s="123">
        <f t="shared" ref="F550:G550" si="186">F551+F552</f>
        <v>328</v>
      </c>
      <c r="G550" s="123">
        <f t="shared" si="186"/>
        <v>328</v>
      </c>
    </row>
    <row r="551" spans="1:7" ht="30" x14ac:dyDescent="0.25">
      <c r="A551" s="66" t="s">
        <v>21</v>
      </c>
      <c r="B551" s="15" t="s">
        <v>311</v>
      </c>
      <c r="C551" s="16" t="s">
        <v>313</v>
      </c>
      <c r="D551" s="17">
        <v>200</v>
      </c>
      <c r="E551" s="123">
        <v>3</v>
      </c>
      <c r="F551" s="123">
        <v>3</v>
      </c>
      <c r="G551" s="123">
        <v>3</v>
      </c>
    </row>
    <row r="552" spans="1:7" x14ac:dyDescent="0.25">
      <c r="A552" s="66" t="s">
        <v>29</v>
      </c>
      <c r="B552" s="15" t="s">
        <v>311</v>
      </c>
      <c r="C552" s="16" t="s">
        <v>313</v>
      </c>
      <c r="D552" s="17">
        <v>300</v>
      </c>
      <c r="E552" s="123">
        <v>315.39999999999998</v>
      </c>
      <c r="F552" s="123">
        <v>325</v>
      </c>
      <c r="G552" s="123">
        <v>325</v>
      </c>
    </row>
    <row r="553" spans="1:7" ht="60" x14ac:dyDescent="0.25">
      <c r="A553" s="66" t="s">
        <v>563</v>
      </c>
      <c r="B553" s="15" t="s">
        <v>311</v>
      </c>
      <c r="C553" s="16" t="s">
        <v>528</v>
      </c>
      <c r="D553" s="17"/>
      <c r="E553" s="123">
        <f>E554+E555</f>
        <v>52887.3</v>
      </c>
      <c r="F553" s="123">
        <f t="shared" ref="F553:G553" si="187">F554+F555</f>
        <v>54343.1</v>
      </c>
      <c r="G553" s="123">
        <f t="shared" si="187"/>
        <v>54343.1</v>
      </c>
    </row>
    <row r="554" spans="1:7" ht="30" x14ac:dyDescent="0.25">
      <c r="A554" s="66" t="s">
        <v>21</v>
      </c>
      <c r="B554" s="15" t="s">
        <v>311</v>
      </c>
      <c r="C554" s="16" t="s">
        <v>528</v>
      </c>
      <c r="D554" s="17">
        <v>200</v>
      </c>
      <c r="E554" s="123">
        <v>250</v>
      </c>
      <c r="F554" s="123">
        <v>250</v>
      </c>
      <c r="G554" s="123">
        <v>250</v>
      </c>
    </row>
    <row r="555" spans="1:7" x14ac:dyDescent="0.25">
      <c r="A555" s="66" t="s">
        <v>29</v>
      </c>
      <c r="B555" s="15" t="s">
        <v>311</v>
      </c>
      <c r="C555" s="16" t="s">
        <v>528</v>
      </c>
      <c r="D555" s="17">
        <v>300</v>
      </c>
      <c r="E555" s="123">
        <v>52637.3</v>
      </c>
      <c r="F555" s="123">
        <v>54093.1</v>
      </c>
      <c r="G555" s="123">
        <v>54093.1</v>
      </c>
    </row>
    <row r="556" spans="1:7" ht="45" x14ac:dyDescent="0.25">
      <c r="A556" s="66" t="s">
        <v>562</v>
      </c>
      <c r="B556" s="15" t="s">
        <v>311</v>
      </c>
      <c r="C556" s="16" t="s">
        <v>314</v>
      </c>
      <c r="D556" s="17"/>
      <c r="E556" s="123">
        <f>E557+E558</f>
        <v>4939.7</v>
      </c>
      <c r="F556" s="123">
        <f t="shared" ref="F556:G556" si="188">F557+F558</f>
        <v>7113.4</v>
      </c>
      <c r="G556" s="123">
        <f t="shared" si="188"/>
        <v>6470.1</v>
      </c>
    </row>
    <row r="557" spans="1:7" ht="30" x14ac:dyDescent="0.25">
      <c r="A557" s="66" t="s">
        <v>21</v>
      </c>
      <c r="B557" s="15" t="s">
        <v>311</v>
      </c>
      <c r="C557" s="16" t="s">
        <v>314</v>
      </c>
      <c r="D557" s="17">
        <v>200</v>
      </c>
      <c r="E557" s="123">
        <v>25</v>
      </c>
      <c r="F557" s="123">
        <v>35</v>
      </c>
      <c r="G557" s="123">
        <v>30</v>
      </c>
    </row>
    <row r="558" spans="1:7" x14ac:dyDescent="0.25">
      <c r="A558" s="66" t="s">
        <v>29</v>
      </c>
      <c r="B558" s="15" t="s">
        <v>311</v>
      </c>
      <c r="C558" s="16" t="s">
        <v>314</v>
      </c>
      <c r="D558" s="17">
        <v>300</v>
      </c>
      <c r="E558" s="123">
        <v>4914.7</v>
      </c>
      <c r="F558" s="123">
        <v>7078.4</v>
      </c>
      <c r="G558" s="123">
        <v>6440.1</v>
      </c>
    </row>
    <row r="559" spans="1:7" x14ac:dyDescent="0.25">
      <c r="A559" s="9" t="s">
        <v>172</v>
      </c>
      <c r="B559" s="10" t="s">
        <v>173</v>
      </c>
      <c r="C559" s="14"/>
      <c r="D559" s="11"/>
      <c r="E559" s="12">
        <f>SUM(E560+E565)</f>
        <v>37853.800000000003</v>
      </c>
      <c r="F559" s="12">
        <f>SUM(F560+F565)</f>
        <v>34461.300000000003</v>
      </c>
      <c r="G559" s="12">
        <f>SUM(G560+G565)</f>
        <v>32025.8</v>
      </c>
    </row>
    <row r="560" spans="1:7" x14ac:dyDescent="0.25">
      <c r="A560" s="9" t="s">
        <v>174</v>
      </c>
      <c r="B560" s="10" t="s">
        <v>175</v>
      </c>
      <c r="C560" s="14"/>
      <c r="D560" s="11"/>
      <c r="E560" s="12">
        <f>E561</f>
        <v>25902.6</v>
      </c>
      <c r="F560" s="12">
        <f t="shared" ref="F560:G561" si="189">F561</f>
        <v>20862.2</v>
      </c>
      <c r="G560" s="12">
        <f t="shared" si="189"/>
        <v>21437.5</v>
      </c>
    </row>
    <row r="561" spans="1:7" ht="30" x14ac:dyDescent="0.25">
      <c r="A561" s="66" t="s">
        <v>520</v>
      </c>
      <c r="B561" s="15" t="s">
        <v>175</v>
      </c>
      <c r="C561" s="16" t="s">
        <v>176</v>
      </c>
      <c r="D561" s="17"/>
      <c r="E561" s="20">
        <f>E562</f>
        <v>25902.6</v>
      </c>
      <c r="F561" s="20">
        <f t="shared" si="189"/>
        <v>20862.2</v>
      </c>
      <c r="G561" s="20">
        <f t="shared" si="189"/>
        <v>21437.5</v>
      </c>
    </row>
    <row r="562" spans="1:7" ht="30" x14ac:dyDescent="0.25">
      <c r="A562" s="1" t="s">
        <v>177</v>
      </c>
      <c r="B562" s="15" t="s">
        <v>175</v>
      </c>
      <c r="C562" s="16" t="s">
        <v>178</v>
      </c>
      <c r="D562" s="17"/>
      <c r="E562" s="20">
        <f>E563</f>
        <v>25902.6</v>
      </c>
      <c r="F562" s="20">
        <f t="shared" ref="F562:G563" si="190">F563</f>
        <v>20862.2</v>
      </c>
      <c r="G562" s="20">
        <f t="shared" si="190"/>
        <v>21437.5</v>
      </c>
    </row>
    <row r="563" spans="1:7" ht="30" x14ac:dyDescent="0.25">
      <c r="A563" s="1" t="s">
        <v>55</v>
      </c>
      <c r="B563" s="15" t="s">
        <v>175</v>
      </c>
      <c r="C563" s="16" t="s">
        <v>179</v>
      </c>
      <c r="D563" s="17"/>
      <c r="E563" s="20">
        <f>E564</f>
        <v>25902.6</v>
      </c>
      <c r="F563" s="20">
        <f t="shared" si="190"/>
        <v>20862.2</v>
      </c>
      <c r="G563" s="20">
        <f t="shared" si="190"/>
        <v>21437.5</v>
      </c>
    </row>
    <row r="564" spans="1:7" ht="30" x14ac:dyDescent="0.25">
      <c r="A564" s="1" t="s">
        <v>56</v>
      </c>
      <c r="B564" s="15" t="s">
        <v>175</v>
      </c>
      <c r="C564" s="16" t="s">
        <v>179</v>
      </c>
      <c r="D564" s="17">
        <v>600</v>
      </c>
      <c r="E564" s="123">
        <f>21444.6+857.6+3600.4</f>
        <v>25902.6</v>
      </c>
      <c r="F564" s="123">
        <v>20862.2</v>
      </c>
      <c r="G564" s="123">
        <v>21437.5</v>
      </c>
    </row>
    <row r="565" spans="1:7" x14ac:dyDescent="0.25">
      <c r="A565" s="9" t="s">
        <v>180</v>
      </c>
      <c r="B565" s="10" t="s">
        <v>181</v>
      </c>
      <c r="C565" s="14"/>
      <c r="D565" s="11"/>
      <c r="E565" s="12">
        <f>SUM(E566)</f>
        <v>11951.2</v>
      </c>
      <c r="F565" s="12">
        <f t="shared" ref="F565:G565" si="191">SUM(F566)</f>
        <v>13599.099999999999</v>
      </c>
      <c r="G565" s="12">
        <f t="shared" si="191"/>
        <v>10588.3</v>
      </c>
    </row>
    <row r="566" spans="1:7" ht="30" x14ac:dyDescent="0.25">
      <c r="A566" s="66" t="s">
        <v>521</v>
      </c>
      <c r="B566" s="15" t="s">
        <v>181</v>
      </c>
      <c r="C566" s="16" t="s">
        <v>176</v>
      </c>
      <c r="D566" s="17"/>
      <c r="E566" s="20">
        <f>E567+E570+E582</f>
        <v>11951.2</v>
      </c>
      <c r="F566" s="20">
        <f t="shared" ref="F566:G566" si="192">F567+F570+F582</f>
        <v>13599.099999999999</v>
      </c>
      <c r="G566" s="20">
        <f t="shared" si="192"/>
        <v>10588.3</v>
      </c>
    </row>
    <row r="567" spans="1:7" ht="30" x14ac:dyDescent="0.25">
      <c r="A567" s="1" t="s">
        <v>182</v>
      </c>
      <c r="B567" s="15" t="s">
        <v>181</v>
      </c>
      <c r="C567" s="16" t="s">
        <v>183</v>
      </c>
      <c r="D567" s="17"/>
      <c r="E567" s="20">
        <f>E568</f>
        <v>450</v>
      </c>
      <c r="F567" s="20">
        <f t="shared" ref="F567:G568" si="193">F568</f>
        <v>450</v>
      </c>
      <c r="G567" s="20">
        <f t="shared" si="193"/>
        <v>450</v>
      </c>
    </row>
    <row r="568" spans="1:7" ht="30" x14ac:dyDescent="0.25">
      <c r="A568" s="1" t="s">
        <v>184</v>
      </c>
      <c r="B568" s="15" t="s">
        <v>181</v>
      </c>
      <c r="C568" s="16" t="s">
        <v>185</v>
      </c>
      <c r="D568" s="17"/>
      <c r="E568" s="20">
        <f>E569</f>
        <v>450</v>
      </c>
      <c r="F568" s="20">
        <f t="shared" si="193"/>
        <v>450</v>
      </c>
      <c r="G568" s="20">
        <f t="shared" si="193"/>
        <v>450</v>
      </c>
    </row>
    <row r="569" spans="1:7" ht="30" x14ac:dyDescent="0.25">
      <c r="A569" s="1" t="s">
        <v>21</v>
      </c>
      <c r="B569" s="15" t="s">
        <v>181</v>
      </c>
      <c r="C569" s="16" t="s">
        <v>185</v>
      </c>
      <c r="D569" s="17">
        <v>200</v>
      </c>
      <c r="E569" s="123">
        <v>450</v>
      </c>
      <c r="F569" s="123">
        <v>450</v>
      </c>
      <c r="G569" s="123">
        <v>450</v>
      </c>
    </row>
    <row r="570" spans="1:7" ht="30" x14ac:dyDescent="0.25">
      <c r="A570" s="61" t="s">
        <v>186</v>
      </c>
      <c r="B570" s="15" t="s">
        <v>181</v>
      </c>
      <c r="C570" s="16" t="s">
        <v>187</v>
      </c>
      <c r="D570" s="17"/>
      <c r="E570" s="20">
        <f>E571+E574+E576+E579</f>
        <v>11501.2</v>
      </c>
      <c r="F570" s="20">
        <f t="shared" ref="F570:G570" si="194">F571+F574+F576+F579</f>
        <v>10338.299999999999</v>
      </c>
      <c r="G570" s="20">
        <f t="shared" si="194"/>
        <v>10138.299999999999</v>
      </c>
    </row>
    <row r="571" spans="1:7" ht="30" x14ac:dyDescent="0.25">
      <c r="A571" s="1" t="s">
        <v>188</v>
      </c>
      <c r="B571" s="15" t="s">
        <v>181</v>
      </c>
      <c r="C571" s="16" t="s">
        <v>189</v>
      </c>
      <c r="D571" s="17"/>
      <c r="E571" s="20">
        <f>SUM(E572:E573)</f>
        <v>7171.2</v>
      </c>
      <c r="F571" s="20">
        <f t="shared" ref="F571:G571" si="195">SUM(F572:F573)</f>
        <v>6558.3</v>
      </c>
      <c r="G571" s="20">
        <f t="shared" si="195"/>
        <v>6358.3</v>
      </c>
    </row>
    <row r="572" spans="1:7" ht="60" x14ac:dyDescent="0.25">
      <c r="A572" s="1" t="s">
        <v>14</v>
      </c>
      <c r="B572" s="15" t="s">
        <v>181</v>
      </c>
      <c r="C572" s="16" t="s">
        <v>189</v>
      </c>
      <c r="D572" s="17">
        <v>100</v>
      </c>
      <c r="E572" s="123">
        <v>1493.8</v>
      </c>
      <c r="F572" s="123">
        <v>1792.8</v>
      </c>
      <c r="G572" s="123">
        <v>1592.8</v>
      </c>
    </row>
    <row r="573" spans="1:7" ht="30" x14ac:dyDescent="0.25">
      <c r="A573" s="1" t="s">
        <v>21</v>
      </c>
      <c r="B573" s="15" t="s">
        <v>181</v>
      </c>
      <c r="C573" s="16" t="s">
        <v>189</v>
      </c>
      <c r="D573" s="17">
        <v>200</v>
      </c>
      <c r="E573" s="123">
        <f>4864.5+812.9</f>
        <v>5677.4</v>
      </c>
      <c r="F573" s="123">
        <v>4765.5</v>
      </c>
      <c r="G573" s="123">
        <v>4765.5</v>
      </c>
    </row>
    <row r="574" spans="1:7" ht="30" x14ac:dyDescent="0.25">
      <c r="A574" s="84" t="s">
        <v>190</v>
      </c>
      <c r="B574" s="15" t="s">
        <v>181</v>
      </c>
      <c r="C574" s="16" t="s">
        <v>191</v>
      </c>
      <c r="D574" s="17"/>
      <c r="E574" s="20">
        <f>E575</f>
        <v>1650</v>
      </c>
      <c r="F574" s="20">
        <f t="shared" ref="F574:G574" si="196">F575</f>
        <v>1650</v>
      </c>
      <c r="G574" s="20">
        <f t="shared" si="196"/>
        <v>1650</v>
      </c>
    </row>
    <row r="575" spans="1:7" ht="30" x14ac:dyDescent="0.25">
      <c r="A575" s="1" t="s">
        <v>21</v>
      </c>
      <c r="B575" s="15" t="s">
        <v>181</v>
      </c>
      <c r="C575" s="16" t="s">
        <v>191</v>
      </c>
      <c r="D575" s="85">
        <v>200</v>
      </c>
      <c r="E575" s="123">
        <v>1650</v>
      </c>
      <c r="F575" s="123">
        <v>1650</v>
      </c>
      <c r="G575" s="123">
        <v>1650</v>
      </c>
    </row>
    <row r="576" spans="1:7" x14ac:dyDescent="0.25">
      <c r="A576" s="79" t="s">
        <v>192</v>
      </c>
      <c r="B576" s="15" t="s">
        <v>181</v>
      </c>
      <c r="C576" s="16" t="s">
        <v>193</v>
      </c>
      <c r="D576" s="85"/>
      <c r="E576" s="20">
        <f>E578+E577</f>
        <v>2300</v>
      </c>
      <c r="F576" s="20">
        <f t="shared" ref="F576:G576" si="197">F578+F577</f>
        <v>1800</v>
      </c>
      <c r="G576" s="20">
        <f t="shared" si="197"/>
        <v>1800</v>
      </c>
    </row>
    <row r="577" spans="1:7" x14ac:dyDescent="0.25">
      <c r="A577" s="66" t="s">
        <v>29</v>
      </c>
      <c r="B577" s="15" t="s">
        <v>181</v>
      </c>
      <c r="C577" s="16" t="s">
        <v>193</v>
      </c>
      <c r="D577" s="89">
        <v>300</v>
      </c>
      <c r="E577" s="123">
        <v>500</v>
      </c>
      <c r="F577" s="123">
        <v>0</v>
      </c>
      <c r="G577" s="123">
        <v>0</v>
      </c>
    </row>
    <row r="578" spans="1:7" ht="30" x14ac:dyDescent="0.25">
      <c r="A578" s="1" t="s">
        <v>56</v>
      </c>
      <c r="B578" s="15" t="s">
        <v>181</v>
      </c>
      <c r="C578" s="16" t="s">
        <v>193</v>
      </c>
      <c r="D578" s="89">
        <v>600</v>
      </c>
      <c r="E578" s="123">
        <v>1800</v>
      </c>
      <c r="F578" s="123">
        <v>1800</v>
      </c>
      <c r="G578" s="123">
        <v>1800</v>
      </c>
    </row>
    <row r="579" spans="1:7" ht="30" x14ac:dyDescent="0.25">
      <c r="A579" s="145" t="s">
        <v>194</v>
      </c>
      <c r="B579" s="15" t="s">
        <v>181</v>
      </c>
      <c r="C579" s="16" t="s">
        <v>195</v>
      </c>
      <c r="D579" s="17"/>
      <c r="E579" s="20">
        <f>E580+E581</f>
        <v>380</v>
      </c>
      <c r="F579" s="20">
        <f t="shared" ref="F579:G579" si="198">F580</f>
        <v>330</v>
      </c>
      <c r="G579" s="20">
        <f t="shared" si="198"/>
        <v>330</v>
      </c>
    </row>
    <row r="580" spans="1:7" s="13" customFormat="1" ht="36.75" customHeight="1" x14ac:dyDescent="0.25">
      <c r="A580" s="66" t="s">
        <v>21</v>
      </c>
      <c r="B580" s="15" t="s">
        <v>181</v>
      </c>
      <c r="C580" s="16" t="s">
        <v>195</v>
      </c>
      <c r="D580" s="17">
        <v>200</v>
      </c>
      <c r="E580" s="123">
        <v>330</v>
      </c>
      <c r="F580" s="123">
        <v>330</v>
      </c>
      <c r="G580" s="123">
        <v>330</v>
      </c>
    </row>
    <row r="581" spans="1:7" s="13" customFormat="1" ht="36.75" customHeight="1" x14ac:dyDescent="0.25">
      <c r="A581" s="66" t="s">
        <v>56</v>
      </c>
      <c r="B581" s="15" t="s">
        <v>181</v>
      </c>
      <c r="C581" s="16" t="s">
        <v>195</v>
      </c>
      <c r="D581" s="17">
        <v>600</v>
      </c>
      <c r="E581" s="123">
        <v>50</v>
      </c>
      <c r="F581" s="123"/>
      <c r="G581" s="123"/>
    </row>
    <row r="582" spans="1:7" s="13" customFormat="1" ht="30" x14ac:dyDescent="0.25">
      <c r="A582" s="66" t="s">
        <v>574</v>
      </c>
      <c r="B582" s="15" t="s">
        <v>181</v>
      </c>
      <c r="C582" s="16" t="s">
        <v>535</v>
      </c>
      <c r="D582" s="17"/>
      <c r="E582" s="123">
        <f>E583</f>
        <v>0</v>
      </c>
      <c r="F582" s="123">
        <f>F583</f>
        <v>2810.8</v>
      </c>
      <c r="G582" s="123">
        <f>G583</f>
        <v>0</v>
      </c>
    </row>
    <row r="583" spans="1:7" s="13" customFormat="1" ht="30" x14ac:dyDescent="0.25">
      <c r="A583" s="66" t="s">
        <v>21</v>
      </c>
      <c r="B583" s="15" t="s">
        <v>181</v>
      </c>
      <c r="C583" s="16" t="s">
        <v>535</v>
      </c>
      <c r="D583" s="17">
        <v>200</v>
      </c>
      <c r="E583" s="123">
        <v>0</v>
      </c>
      <c r="F583" s="123">
        <v>2810.8</v>
      </c>
      <c r="G583" s="123">
        <v>0</v>
      </c>
    </row>
    <row r="584" spans="1:7" x14ac:dyDescent="0.25">
      <c r="A584" s="122" t="s">
        <v>196</v>
      </c>
      <c r="B584" s="24" t="s">
        <v>197</v>
      </c>
      <c r="C584" s="24"/>
      <c r="D584" s="25"/>
      <c r="E584" s="12">
        <f>SUM(E585)</f>
        <v>29416.400000000001</v>
      </c>
      <c r="F584" s="12">
        <f t="shared" ref="F584:G584" si="199">SUM(F585)</f>
        <v>27981.8</v>
      </c>
      <c r="G584" s="12">
        <f t="shared" si="199"/>
        <v>26608.7</v>
      </c>
    </row>
    <row r="585" spans="1:7" x14ac:dyDescent="0.25">
      <c r="A585" s="82" t="s">
        <v>198</v>
      </c>
      <c r="B585" s="24" t="s">
        <v>199</v>
      </c>
      <c r="C585" s="24"/>
      <c r="D585" s="25"/>
      <c r="E585" s="12">
        <f>SUM(E586)</f>
        <v>29416.400000000001</v>
      </c>
      <c r="F585" s="12">
        <f t="shared" ref="F585:G586" si="200">SUM(F586)</f>
        <v>27981.8</v>
      </c>
      <c r="G585" s="12">
        <f t="shared" si="200"/>
        <v>26608.7</v>
      </c>
    </row>
    <row r="586" spans="1:7" x14ac:dyDescent="0.25">
      <c r="A586" s="93" t="s">
        <v>10</v>
      </c>
      <c r="B586" s="88" t="s">
        <v>199</v>
      </c>
      <c r="C586" s="88" t="s">
        <v>11</v>
      </c>
      <c r="D586" s="85"/>
      <c r="E586" s="20">
        <f>SUM(E587)</f>
        <v>29416.400000000001</v>
      </c>
      <c r="F586" s="20">
        <f t="shared" si="200"/>
        <v>27981.8</v>
      </c>
      <c r="G586" s="20">
        <f t="shared" si="200"/>
        <v>26608.7</v>
      </c>
    </row>
    <row r="587" spans="1:7" ht="30" x14ac:dyDescent="0.25">
      <c r="A587" s="84" t="s">
        <v>55</v>
      </c>
      <c r="B587" s="88" t="s">
        <v>199</v>
      </c>
      <c r="C587" s="88" t="s">
        <v>52</v>
      </c>
      <c r="D587" s="88"/>
      <c r="E587" s="20">
        <f>E588</f>
        <v>29416.400000000001</v>
      </c>
      <c r="F587" s="20">
        <f t="shared" ref="F587:G587" si="201">F588</f>
        <v>27981.8</v>
      </c>
      <c r="G587" s="20">
        <f t="shared" si="201"/>
        <v>26608.7</v>
      </c>
    </row>
    <row r="588" spans="1:7" ht="30" x14ac:dyDescent="0.25">
      <c r="A588" s="84" t="s">
        <v>56</v>
      </c>
      <c r="B588" s="88" t="s">
        <v>199</v>
      </c>
      <c r="C588" s="88" t="s">
        <v>52</v>
      </c>
      <c r="D588" s="89">
        <v>600</v>
      </c>
      <c r="E588" s="123">
        <f>28817+599.4</f>
        <v>29416.400000000001</v>
      </c>
      <c r="F588" s="123">
        <v>27981.8</v>
      </c>
      <c r="G588" s="123">
        <v>26608.7</v>
      </c>
    </row>
    <row r="589" spans="1:7" ht="21.75" customHeight="1" x14ac:dyDescent="0.25">
      <c r="A589" s="9" t="s">
        <v>200</v>
      </c>
      <c r="B589" s="10" t="s">
        <v>201</v>
      </c>
      <c r="C589" s="14"/>
      <c r="D589" s="11"/>
      <c r="E589" s="12">
        <f>E590</f>
        <v>81702.100000000006</v>
      </c>
      <c r="F589" s="12">
        <f t="shared" ref="F589:G592" si="202">F590</f>
        <v>82731.099999999991</v>
      </c>
      <c r="G589" s="12">
        <f t="shared" si="202"/>
        <v>51317.200000000004</v>
      </c>
    </row>
    <row r="590" spans="1:7" ht="30" customHeight="1" x14ac:dyDescent="0.25">
      <c r="A590" s="9" t="s">
        <v>202</v>
      </c>
      <c r="B590" s="10" t="s">
        <v>203</v>
      </c>
      <c r="C590" s="14"/>
      <c r="D590" s="11"/>
      <c r="E590" s="12">
        <f>E591</f>
        <v>81702.100000000006</v>
      </c>
      <c r="F590" s="12">
        <f t="shared" si="202"/>
        <v>82731.099999999991</v>
      </c>
      <c r="G590" s="12">
        <f t="shared" si="202"/>
        <v>51317.200000000004</v>
      </c>
    </row>
    <row r="591" spans="1:7" x14ac:dyDescent="0.25">
      <c r="A591" s="1" t="s">
        <v>10</v>
      </c>
      <c r="B591" s="15" t="s">
        <v>203</v>
      </c>
      <c r="C591" s="16" t="s">
        <v>11</v>
      </c>
      <c r="D591" s="17"/>
      <c r="E591" s="59">
        <f>E592+E594</f>
        <v>81702.100000000006</v>
      </c>
      <c r="F591" s="59">
        <f t="shared" ref="F591:G591" si="203">F592+F594</f>
        <v>82731.099999999991</v>
      </c>
      <c r="G591" s="59">
        <f t="shared" si="203"/>
        <v>51317.200000000004</v>
      </c>
    </row>
    <row r="592" spans="1:7" x14ac:dyDescent="0.25">
      <c r="A592" s="1" t="s">
        <v>204</v>
      </c>
      <c r="B592" s="15" t="s">
        <v>203</v>
      </c>
      <c r="C592" s="16" t="s">
        <v>205</v>
      </c>
      <c r="D592" s="17"/>
      <c r="E592" s="59">
        <f>E593</f>
        <v>61345.799999999996</v>
      </c>
      <c r="F592" s="59">
        <f t="shared" si="202"/>
        <v>67914.2</v>
      </c>
      <c r="G592" s="59">
        <f t="shared" si="202"/>
        <v>37085.599999999999</v>
      </c>
    </row>
    <row r="593" spans="1:7" x14ac:dyDescent="0.25">
      <c r="A593" s="1" t="s">
        <v>206</v>
      </c>
      <c r="B593" s="15" t="s">
        <v>203</v>
      </c>
      <c r="C593" s="16" t="s">
        <v>205</v>
      </c>
      <c r="D593" s="17">
        <v>700</v>
      </c>
      <c r="E593" s="60">
        <f>62941.1-1595.3</f>
        <v>61345.799999999996</v>
      </c>
      <c r="F593" s="60">
        <f>65739.6-3170.8+5345.4</f>
        <v>67914.2</v>
      </c>
      <c r="G593" s="20">
        <f>35283.8-4128.9+5930.7</f>
        <v>37085.599999999999</v>
      </c>
    </row>
    <row r="594" spans="1:7" x14ac:dyDescent="0.25">
      <c r="A594" s="1" t="s">
        <v>204</v>
      </c>
      <c r="B594" s="15" t="s">
        <v>203</v>
      </c>
      <c r="C594" s="16" t="s">
        <v>426</v>
      </c>
      <c r="D594" s="17"/>
      <c r="E594" s="60">
        <f>E595</f>
        <v>20356.300000000003</v>
      </c>
      <c r="F594" s="60">
        <f>F595</f>
        <v>14816.9</v>
      </c>
      <c r="G594" s="20">
        <f>G595</f>
        <v>14231.600000000006</v>
      </c>
    </row>
    <row r="595" spans="1:7" x14ac:dyDescent="0.25">
      <c r="A595" s="1" t="s">
        <v>206</v>
      </c>
      <c r="B595" s="15" t="s">
        <v>203</v>
      </c>
      <c r="C595" s="16" t="s">
        <v>426</v>
      </c>
      <c r="D595" s="17">
        <v>700</v>
      </c>
      <c r="E595" s="123">
        <f>20336.2+1.2+18.9</f>
        <v>20356.300000000003</v>
      </c>
      <c r="F595" s="123">
        <f>20162.3-5345.4</f>
        <v>14816.9</v>
      </c>
      <c r="G595" s="123">
        <f>34926+20162.3-5930.7-34926</f>
        <v>14231.600000000006</v>
      </c>
    </row>
    <row r="596" spans="1:7" s="13" customFormat="1" ht="16.5" customHeight="1" x14ac:dyDescent="0.25">
      <c r="A596" s="57" t="s">
        <v>425</v>
      </c>
      <c r="B596" s="19"/>
      <c r="C596" s="16"/>
      <c r="D596" s="27"/>
      <c r="E596" s="18"/>
      <c r="F596" s="140">
        <f>86205.1+71.6-1527.5</f>
        <v>84749.200000000012</v>
      </c>
      <c r="G596" s="140">
        <f>173879.5+143.2-3354.8</f>
        <v>170667.90000000002</v>
      </c>
    </row>
    <row r="597" spans="1:7" s="13" customFormat="1" ht="15.75" x14ac:dyDescent="0.25">
      <c r="A597" s="54"/>
      <c r="B597" s="19"/>
      <c r="C597" s="16"/>
      <c r="D597" s="27"/>
      <c r="E597" s="18"/>
      <c r="F597" s="20"/>
      <c r="G597" s="20"/>
    </row>
    <row r="598" spans="1:7" x14ac:dyDescent="0.25">
      <c r="A598" s="9" t="s">
        <v>379</v>
      </c>
      <c r="B598" s="14"/>
      <c r="C598" s="14"/>
      <c r="D598" s="28"/>
      <c r="E598" s="12">
        <f>E9+E89+E97+E127+E218+E348+E471+E559+E584+E589+E505+E597</f>
        <v>8109646.1999999993</v>
      </c>
      <c r="F598" s="12">
        <f>F9+F89+F97+F127+F218+F348+F471+F559+F584+F589+F505+F597+F596</f>
        <v>7757998.9000000004</v>
      </c>
      <c r="G598" s="12">
        <f>G9+G89+G97+G127+G218+G348+G471+G559+G584+G589+G505+G597+G596</f>
        <v>7204626.7000000002</v>
      </c>
    </row>
    <row r="599" spans="1:7" x14ac:dyDescent="0.25">
      <c r="A599" s="29"/>
      <c r="B599" s="16"/>
      <c r="C599" s="16"/>
      <c r="D599" s="27"/>
      <c r="E599" s="30"/>
    </row>
    <row r="600" spans="1:7" x14ac:dyDescent="0.25">
      <c r="A600" s="9"/>
      <c r="B600" s="14"/>
      <c r="C600" s="11"/>
      <c r="D600" s="33"/>
      <c r="E600" s="56"/>
      <c r="F600" s="56"/>
      <c r="G600" s="56"/>
    </row>
    <row r="601" spans="1:7" x14ac:dyDescent="0.25">
      <c r="A601" s="1"/>
      <c r="B601" s="16"/>
      <c r="C601" s="17"/>
      <c r="D601" s="27"/>
      <c r="E601" s="30"/>
      <c r="F601" s="30"/>
      <c r="G601" s="30"/>
    </row>
    <row r="602" spans="1:7" x14ac:dyDescent="0.25">
      <c r="A602" s="34"/>
      <c r="B602" s="16"/>
      <c r="C602" s="17"/>
      <c r="D602" s="27"/>
      <c r="E602" s="30"/>
      <c r="F602" s="30"/>
      <c r="G602" s="30"/>
    </row>
    <row r="603" spans="1:7" x14ac:dyDescent="0.25">
      <c r="A603" s="35"/>
      <c r="B603" s="16"/>
      <c r="C603" s="17"/>
      <c r="D603" s="27"/>
      <c r="G603" s="30"/>
    </row>
    <row r="604" spans="1:7" x14ac:dyDescent="0.25">
      <c r="A604" s="23"/>
      <c r="B604" s="16"/>
      <c r="C604" s="17"/>
      <c r="D604" s="27"/>
    </row>
    <row r="605" spans="1:7" x14ac:dyDescent="0.25">
      <c r="A605" s="29"/>
      <c r="B605" s="16"/>
      <c r="C605" s="17"/>
      <c r="D605" s="27"/>
    </row>
    <row r="606" spans="1:7" x14ac:dyDescent="0.25">
      <c r="A606" s="36"/>
      <c r="B606" s="37"/>
      <c r="C606" s="25"/>
      <c r="D606" s="33"/>
    </row>
    <row r="607" spans="1:7" x14ac:dyDescent="0.25">
      <c r="A607" s="38"/>
      <c r="B607" s="14"/>
      <c r="C607" s="11"/>
      <c r="D607" s="33"/>
    </row>
    <row r="608" spans="1:7" x14ac:dyDescent="0.25">
      <c r="A608" s="29"/>
      <c r="B608" s="16"/>
      <c r="C608" s="17"/>
      <c r="D608" s="27"/>
    </row>
    <row r="609" spans="1:5" x14ac:dyDescent="0.25">
      <c r="A609" s="29"/>
      <c r="B609" s="16"/>
      <c r="C609" s="17"/>
      <c r="D609" s="27"/>
    </row>
    <row r="610" spans="1:5" x14ac:dyDescent="0.25">
      <c r="A610" s="29"/>
      <c r="B610" s="16"/>
      <c r="C610" s="17"/>
      <c r="D610" s="27"/>
    </row>
    <row r="611" spans="1:5" x14ac:dyDescent="0.25">
      <c r="A611" s="38"/>
      <c r="B611" s="14"/>
      <c r="C611" s="11"/>
      <c r="D611" s="33"/>
      <c r="E611" s="13"/>
    </row>
    <row r="612" spans="1:5" x14ac:dyDescent="0.25">
      <c r="A612" s="29"/>
      <c r="B612" s="16"/>
      <c r="C612" s="17"/>
      <c r="D612" s="27"/>
    </row>
    <row r="613" spans="1:5" x14ac:dyDescent="0.25">
      <c r="A613" s="29"/>
      <c r="B613" s="16"/>
      <c r="C613" s="17"/>
      <c r="D613" s="27"/>
    </row>
    <row r="614" spans="1:5" x14ac:dyDescent="0.25">
      <c r="A614" s="29"/>
      <c r="B614" s="16"/>
      <c r="C614" s="17"/>
      <c r="D614" s="27"/>
    </row>
    <row r="615" spans="1:5" x14ac:dyDescent="0.25">
      <c r="A615" s="29"/>
      <c r="B615" s="16"/>
      <c r="C615" s="17"/>
      <c r="D615" s="27"/>
    </row>
    <row r="616" spans="1:5" x14ac:dyDescent="0.25">
      <c r="A616" s="29"/>
      <c r="B616" s="16"/>
      <c r="C616" s="17"/>
      <c r="D616" s="27"/>
    </row>
    <row r="617" spans="1:5" x14ac:dyDescent="0.25">
      <c r="A617" s="32"/>
      <c r="B617" s="16"/>
      <c r="C617" s="17"/>
      <c r="D617" s="27"/>
    </row>
    <row r="618" spans="1:5" x14ac:dyDescent="0.25">
      <c r="A618" s="29"/>
      <c r="B618" s="16"/>
      <c r="C618" s="17"/>
      <c r="D618" s="27"/>
    </row>
    <row r="619" spans="1:5" x14ac:dyDescent="0.25">
      <c r="A619" s="29"/>
      <c r="B619" s="16"/>
      <c r="C619" s="17"/>
      <c r="D619" s="27"/>
    </row>
    <row r="620" spans="1:5" x14ac:dyDescent="0.25">
      <c r="A620" s="29"/>
      <c r="B620" s="16"/>
      <c r="C620" s="17"/>
      <c r="D620" s="27"/>
    </row>
    <row r="621" spans="1:5" x14ac:dyDescent="0.25">
      <c r="A621" s="29"/>
      <c r="B621" s="16"/>
      <c r="C621" s="17"/>
      <c r="D621" s="27"/>
    </row>
    <row r="622" spans="1:5" x14ac:dyDescent="0.25">
      <c r="A622" s="29"/>
      <c r="B622" s="16"/>
      <c r="C622" s="17"/>
      <c r="D622" s="27"/>
    </row>
    <row r="623" spans="1:5" x14ac:dyDescent="0.25">
      <c r="A623" s="29"/>
      <c r="B623" s="16"/>
      <c r="C623" s="17"/>
      <c r="D623" s="27"/>
    </row>
    <row r="624" spans="1:5" x14ac:dyDescent="0.25">
      <c r="A624" s="34"/>
      <c r="B624" s="16"/>
      <c r="C624" s="17"/>
      <c r="D624" s="27"/>
    </row>
    <row r="625" spans="1:4" x14ac:dyDescent="0.25">
      <c r="A625" s="39"/>
      <c r="B625" s="16"/>
      <c r="C625" s="17"/>
      <c r="D625" s="27"/>
    </row>
    <row r="626" spans="1:4" x14ac:dyDescent="0.25">
      <c r="A626" s="1"/>
      <c r="B626" s="16"/>
      <c r="C626" s="17"/>
      <c r="D626" s="27"/>
    </row>
    <row r="627" spans="1:4" x14ac:dyDescent="0.25">
      <c r="A627" s="40"/>
      <c r="B627" s="41"/>
      <c r="C627" s="22"/>
      <c r="D627" s="27"/>
    </row>
    <row r="628" spans="1:4" x14ac:dyDescent="0.25">
      <c r="A628" s="40"/>
      <c r="B628" s="41"/>
      <c r="C628" s="22"/>
      <c r="D628" s="27"/>
    </row>
    <row r="629" spans="1:4" x14ac:dyDescent="0.25">
      <c r="A629" s="40"/>
      <c r="B629" s="41"/>
      <c r="C629" s="22"/>
      <c r="D629" s="27"/>
    </row>
    <row r="630" spans="1:4" x14ac:dyDescent="0.25">
      <c r="A630" s="29"/>
      <c r="B630" s="41"/>
      <c r="C630" s="22"/>
      <c r="D630" s="27"/>
    </row>
    <row r="631" spans="1:4" x14ac:dyDescent="0.25">
      <c r="A631" s="40"/>
      <c r="B631" s="41"/>
      <c r="C631" s="22"/>
      <c r="D631" s="27"/>
    </row>
    <row r="632" spans="1:4" x14ac:dyDescent="0.25">
      <c r="A632" s="39"/>
      <c r="B632" s="21"/>
      <c r="C632" s="22"/>
      <c r="D632" s="27"/>
    </row>
    <row r="633" spans="1:4" x14ac:dyDescent="0.25">
      <c r="A633" s="29"/>
      <c r="B633" s="21"/>
      <c r="C633" s="22"/>
      <c r="D633" s="27"/>
    </row>
    <row r="634" spans="1:4" x14ac:dyDescent="0.25">
      <c r="A634" s="40"/>
      <c r="B634" s="41"/>
      <c r="C634" s="22"/>
      <c r="D634" s="27"/>
    </row>
    <row r="635" spans="1:4" x14ac:dyDescent="0.25">
      <c r="A635" s="42"/>
      <c r="B635" s="41"/>
      <c r="C635" s="22"/>
      <c r="D635" s="27"/>
    </row>
    <row r="636" spans="1:4" x14ac:dyDescent="0.25">
      <c r="A636" s="42"/>
      <c r="B636" s="41"/>
      <c r="C636" s="22"/>
      <c r="D636" s="27"/>
    </row>
    <row r="637" spans="1:4" x14ac:dyDescent="0.25">
      <c r="A637" s="42"/>
      <c r="B637" s="41"/>
      <c r="C637" s="22"/>
      <c r="D637" s="27"/>
    </row>
    <row r="638" spans="1:4" x14ac:dyDescent="0.25">
      <c r="A638" s="43"/>
      <c r="B638" s="21"/>
      <c r="C638" s="22"/>
      <c r="D638" s="27"/>
    </row>
    <row r="639" spans="1:4" x14ac:dyDescent="0.25">
      <c r="A639" s="42"/>
      <c r="B639" s="21"/>
      <c r="C639" s="22"/>
      <c r="D639" s="27"/>
    </row>
    <row r="640" spans="1:4" x14ac:dyDescent="0.25">
      <c r="A640" s="36"/>
      <c r="B640" s="37"/>
      <c r="C640" s="24"/>
      <c r="D640" s="33"/>
    </row>
    <row r="641" spans="1:4" x14ac:dyDescent="0.25">
      <c r="A641" s="29"/>
      <c r="B641" s="16"/>
      <c r="C641" s="24"/>
      <c r="D641" s="27"/>
    </row>
    <row r="642" spans="1:4" x14ac:dyDescent="0.25">
      <c r="A642" s="31"/>
      <c r="B642" s="16"/>
      <c r="C642" s="21"/>
      <c r="D642" s="27"/>
    </row>
    <row r="643" spans="1:4" x14ac:dyDescent="0.25">
      <c r="A643" s="43"/>
      <c r="B643" s="16"/>
      <c r="C643" s="21"/>
      <c r="D643" s="27"/>
    </row>
    <row r="644" spans="1:4" x14ac:dyDescent="0.25">
      <c r="A644" s="23"/>
      <c r="B644" s="16"/>
      <c r="C644" s="21"/>
      <c r="D644" s="27"/>
    </row>
    <row r="645" spans="1:4" x14ac:dyDescent="0.25">
      <c r="A645" s="29"/>
      <c r="B645" s="16"/>
      <c r="C645" s="21"/>
      <c r="D645" s="27"/>
    </row>
    <row r="646" spans="1:4" x14ac:dyDescent="0.25">
      <c r="A646" s="42"/>
      <c r="B646" s="16"/>
      <c r="C646" s="21"/>
      <c r="D646" s="27"/>
    </row>
    <row r="647" spans="1:4" x14ac:dyDescent="0.25">
      <c r="A647" s="29"/>
      <c r="B647" s="16"/>
      <c r="C647" s="15"/>
      <c r="D647" s="27"/>
    </row>
    <row r="648" spans="1:4" x14ac:dyDescent="0.25">
      <c r="A648" s="32"/>
      <c r="B648" s="16"/>
      <c r="C648" s="15"/>
      <c r="D648" s="27"/>
    </row>
    <row r="649" spans="1:4" x14ac:dyDescent="0.25">
      <c r="A649" s="31"/>
      <c r="B649" s="16"/>
      <c r="C649" s="17"/>
      <c r="D649" s="27"/>
    </row>
    <row r="650" spans="1:4" x14ac:dyDescent="0.25">
      <c r="A650" s="29"/>
      <c r="B650" s="16"/>
      <c r="C650" s="17"/>
      <c r="D650" s="27"/>
    </row>
    <row r="651" spans="1:4" x14ac:dyDescent="0.25">
      <c r="A651" s="32"/>
      <c r="B651" s="16"/>
      <c r="C651" s="15"/>
      <c r="D651" s="27"/>
    </row>
    <row r="652" spans="1:4" x14ac:dyDescent="0.25">
      <c r="A652" s="26"/>
      <c r="B652" s="16"/>
      <c r="C652" s="17"/>
      <c r="D652" s="27"/>
    </row>
    <row r="653" spans="1:4" x14ac:dyDescent="0.25">
      <c r="A653" s="1"/>
      <c r="B653" s="16"/>
      <c r="C653" s="17"/>
      <c r="D653" s="27"/>
    </row>
    <row r="654" spans="1:4" x14ac:dyDescent="0.25">
      <c r="A654" s="29"/>
      <c r="B654" s="16"/>
      <c r="C654" s="17"/>
      <c r="D654" s="27"/>
    </row>
    <row r="655" spans="1:4" x14ac:dyDescent="0.25">
      <c r="A655" s="44"/>
      <c r="B655" s="16"/>
      <c r="C655" s="17"/>
      <c r="D655" s="27"/>
    </row>
    <row r="656" spans="1:4" x14ac:dyDescent="0.25">
      <c r="A656" s="1"/>
      <c r="B656" s="16"/>
      <c r="C656" s="17"/>
      <c r="D656" s="27"/>
    </row>
    <row r="657" spans="1:4" x14ac:dyDescent="0.25">
      <c r="A657" s="29"/>
      <c r="B657" s="16"/>
      <c r="C657" s="17"/>
      <c r="D657" s="27"/>
    </row>
    <row r="658" spans="1:4" x14ac:dyDescent="0.25">
      <c r="A658" s="44"/>
      <c r="B658" s="16"/>
      <c r="C658" s="17"/>
      <c r="D658" s="27"/>
    </row>
    <row r="659" spans="1:4" x14ac:dyDescent="0.25">
      <c r="A659" s="1"/>
      <c r="B659" s="16"/>
      <c r="C659" s="17"/>
      <c r="D659" s="27"/>
    </row>
    <row r="660" spans="1:4" x14ac:dyDescent="0.25">
      <c r="A660" s="29"/>
      <c r="B660" s="16"/>
      <c r="C660" s="17"/>
      <c r="D660" s="27"/>
    </row>
    <row r="661" spans="1:4" x14ac:dyDescent="0.25">
      <c r="A661" s="38"/>
      <c r="B661" s="14"/>
      <c r="C661" s="11"/>
      <c r="D661" s="33"/>
    </row>
    <row r="662" spans="1:4" x14ac:dyDescent="0.25">
      <c r="A662" s="38"/>
      <c r="B662" s="14"/>
      <c r="C662" s="11"/>
      <c r="D662" s="33"/>
    </row>
    <row r="663" spans="1:4" x14ac:dyDescent="0.25">
      <c r="A663" s="29"/>
      <c r="B663" s="16"/>
      <c r="C663" s="17"/>
      <c r="D663" s="27"/>
    </row>
    <row r="664" spans="1:4" x14ac:dyDescent="0.25">
      <c r="A664" s="32"/>
      <c r="B664" s="16"/>
      <c r="C664" s="17"/>
      <c r="D664" s="27"/>
    </row>
    <row r="665" spans="1:4" x14ac:dyDescent="0.25">
      <c r="A665" s="29"/>
      <c r="B665" s="16"/>
      <c r="C665" s="17"/>
      <c r="D665" s="27"/>
    </row>
    <row r="666" spans="1:4" x14ac:dyDescent="0.25">
      <c r="A666" s="38"/>
      <c r="B666" s="14"/>
      <c r="C666" s="11"/>
      <c r="D666" s="33"/>
    </row>
    <row r="667" spans="1:4" x14ac:dyDescent="0.25">
      <c r="A667" s="29"/>
      <c r="B667" s="16"/>
      <c r="C667" s="17"/>
      <c r="D667" s="27"/>
    </row>
    <row r="668" spans="1:4" x14ac:dyDescent="0.25">
      <c r="A668" s="29"/>
      <c r="B668" s="16"/>
      <c r="C668" s="17"/>
      <c r="D668" s="27"/>
    </row>
    <row r="669" spans="1:4" x14ac:dyDescent="0.25">
      <c r="A669" s="29"/>
      <c r="B669" s="16"/>
      <c r="C669" s="17"/>
      <c r="D669" s="27"/>
    </row>
    <row r="670" spans="1:4" x14ac:dyDescent="0.25">
      <c r="A670" s="29"/>
      <c r="B670" s="16"/>
      <c r="C670" s="17"/>
      <c r="D670" s="27"/>
    </row>
    <row r="671" spans="1:4" x14ac:dyDescent="0.25">
      <c r="A671" s="29"/>
      <c r="B671" s="16"/>
      <c r="C671" s="17"/>
      <c r="D671" s="27"/>
    </row>
    <row r="672" spans="1:4" x14ac:dyDescent="0.25">
      <c r="A672" s="29"/>
      <c r="B672" s="16"/>
      <c r="C672" s="17"/>
      <c r="D672" s="27"/>
    </row>
    <row r="673" spans="1:4" x14ac:dyDescent="0.25">
      <c r="A673" s="29"/>
      <c r="B673" s="16"/>
      <c r="C673" s="17"/>
      <c r="D673" s="27"/>
    </row>
    <row r="674" spans="1:4" x14ac:dyDescent="0.25">
      <c r="A674" s="1"/>
      <c r="B674" s="16"/>
      <c r="C674" s="17"/>
      <c r="D674" s="27"/>
    </row>
    <row r="675" spans="1:4" x14ac:dyDescent="0.25">
      <c r="A675" s="23"/>
      <c r="B675" s="16"/>
      <c r="C675" s="17"/>
      <c r="D675" s="27"/>
    </row>
    <row r="676" spans="1:4" x14ac:dyDescent="0.25">
      <c r="A676" s="29"/>
      <c r="B676" s="16"/>
      <c r="C676" s="17"/>
      <c r="D676" s="27"/>
    </row>
    <row r="677" spans="1:4" x14ac:dyDescent="0.25">
      <c r="A677" s="29"/>
      <c r="B677" s="16"/>
      <c r="C677" s="17"/>
      <c r="D677" s="27"/>
    </row>
    <row r="678" spans="1:4" x14ac:dyDescent="0.25">
      <c r="A678" s="45"/>
      <c r="B678" s="37"/>
      <c r="C678" s="25"/>
      <c r="D678" s="33"/>
    </row>
    <row r="679" spans="1:4" x14ac:dyDescent="0.25">
      <c r="A679" s="36"/>
      <c r="B679" s="37"/>
      <c r="C679" s="25"/>
      <c r="D679" s="33"/>
    </row>
    <row r="680" spans="1:4" x14ac:dyDescent="0.25">
      <c r="A680" s="46"/>
      <c r="B680" s="41"/>
      <c r="C680" s="22"/>
      <c r="D680" s="27"/>
    </row>
    <row r="681" spans="1:4" x14ac:dyDescent="0.25">
      <c r="A681" s="42"/>
      <c r="B681" s="41"/>
      <c r="C681" s="22"/>
      <c r="D681" s="27"/>
    </row>
    <row r="682" spans="1:4" x14ac:dyDescent="0.25">
      <c r="A682" s="42"/>
      <c r="B682" s="41"/>
      <c r="C682" s="22"/>
      <c r="D682" s="27"/>
    </row>
    <row r="683" spans="1:4" x14ac:dyDescent="0.25">
      <c r="A683" s="36"/>
      <c r="B683" s="37"/>
      <c r="C683" s="25"/>
      <c r="D683" s="33"/>
    </row>
    <row r="684" spans="1:4" x14ac:dyDescent="0.25">
      <c r="A684" s="46"/>
      <c r="B684" s="41"/>
      <c r="C684" s="22"/>
      <c r="D684" s="27"/>
    </row>
    <row r="685" spans="1:4" x14ac:dyDescent="0.25">
      <c r="A685" s="40"/>
      <c r="B685" s="41"/>
      <c r="C685" s="22"/>
      <c r="D685" s="27"/>
    </row>
    <row r="686" spans="1:4" x14ac:dyDescent="0.25">
      <c r="A686" s="42"/>
      <c r="B686" s="41"/>
      <c r="C686" s="22"/>
      <c r="D686" s="27"/>
    </row>
    <row r="687" spans="1:4" x14ac:dyDescent="0.25">
      <c r="A687" s="38"/>
      <c r="B687" s="14"/>
      <c r="C687" s="11"/>
      <c r="D687" s="33"/>
    </row>
    <row r="688" spans="1:4" x14ac:dyDescent="0.25">
      <c r="A688" s="38"/>
      <c r="B688" s="14"/>
      <c r="C688" s="11"/>
      <c r="D688" s="33"/>
    </row>
    <row r="689" spans="1:7" x14ac:dyDescent="0.25">
      <c r="A689" s="29"/>
      <c r="B689" s="16"/>
      <c r="C689" s="17"/>
      <c r="D689" s="27"/>
    </row>
    <row r="690" spans="1:7" x14ac:dyDescent="0.25">
      <c r="A690" s="29"/>
      <c r="B690" s="16"/>
      <c r="C690" s="17"/>
      <c r="D690" s="27"/>
    </row>
    <row r="691" spans="1:7" x14ac:dyDescent="0.25">
      <c r="A691" s="29"/>
      <c r="B691" s="16"/>
      <c r="C691" s="17"/>
      <c r="D691" s="27"/>
    </row>
    <row r="692" spans="1:7" x14ac:dyDescent="0.25">
      <c r="A692" s="9"/>
      <c r="B692" s="9"/>
      <c r="C692" s="47"/>
      <c r="D692" s="48"/>
      <c r="E692" s="49"/>
    </row>
    <row r="693" spans="1:7" x14ac:dyDescent="0.25">
      <c r="E693" s="30"/>
    </row>
    <row r="695" spans="1:7" x14ac:dyDescent="0.25">
      <c r="E695" s="30"/>
      <c r="F695" s="30"/>
      <c r="G695" s="30"/>
    </row>
    <row r="696" spans="1:7" x14ac:dyDescent="0.25">
      <c r="E696" s="30"/>
      <c r="F696" s="30"/>
      <c r="G696" s="30"/>
    </row>
    <row r="697" spans="1:7" x14ac:dyDescent="0.25">
      <c r="E697" s="30"/>
      <c r="F697" s="30"/>
      <c r="G697" s="30"/>
    </row>
    <row r="699" spans="1:7" x14ac:dyDescent="0.25">
      <c r="E699" s="30"/>
      <c r="F699" s="30"/>
      <c r="G699" s="30"/>
    </row>
    <row r="701" spans="1:7" x14ac:dyDescent="0.25">
      <c r="E701" s="30"/>
      <c r="F701" s="30"/>
      <c r="G701" s="30"/>
    </row>
    <row r="705" spans="5:7" x14ac:dyDescent="0.25">
      <c r="E705" s="30"/>
      <c r="F705" s="30"/>
      <c r="G705" s="30"/>
    </row>
  </sheetData>
  <mergeCells count="7">
    <mergeCell ref="A6:G6"/>
    <mergeCell ref="C5:E5"/>
    <mergeCell ref="C4:E4"/>
    <mergeCell ref="C1:G1"/>
    <mergeCell ref="C2:G2"/>
    <mergeCell ref="C3:G3"/>
    <mergeCell ref="F4:G4"/>
  </mergeCells>
  <pageMargins left="0.70866141732283472" right="0.19685039370078741" top="0.35433070866141736" bottom="0.19685039370078741" header="0.31496062992125984" footer="0.15748031496062992"/>
  <pageSetup paperSize="9" scale="70" fitToHeight="1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рпр</vt:lpstr>
      <vt:lpstr>рпр!Заголовки_для_печати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Zaharevich</dc:creator>
  <cp:lastModifiedBy>Захаревич</cp:lastModifiedBy>
  <cp:lastPrinted>2020-02-13T00:53:31Z</cp:lastPrinted>
  <dcterms:created xsi:type="dcterms:W3CDTF">2016-11-03T06:32:07Z</dcterms:created>
  <dcterms:modified xsi:type="dcterms:W3CDTF">2020-02-27T06:04:38Z</dcterms:modified>
</cp:coreProperties>
</file>