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1760"/>
  </bookViews>
  <sheets>
    <sheet name="рпр" sheetId="3" r:id="rId1"/>
  </sheets>
  <definedNames>
    <definedName name="_xlnm._FilterDatabase" localSheetId="0" hidden="1">рпр!$D$1:$D$930</definedName>
    <definedName name="_xlnm.Print_Titles" localSheetId="0">рпр!$13:$13</definedName>
  </definedNames>
  <calcPr calcId="144525"/>
</workbook>
</file>

<file path=xl/calcChain.xml><?xml version="1.0" encoding="utf-8"?>
<calcChain xmlns="http://schemas.openxmlformats.org/spreadsheetml/2006/main">
  <c r="E401" i="3" l="1"/>
  <c r="E353" i="3"/>
  <c r="E410" i="3" l="1"/>
  <c r="E195" i="3" l="1"/>
  <c r="E193" i="3"/>
  <c r="E152" i="3" l="1"/>
  <c r="E87" i="3"/>
  <c r="E78" i="3"/>
  <c r="F438" i="3"/>
  <c r="F437" i="3" s="1"/>
  <c r="G438" i="3"/>
  <c r="G437" i="3" s="1"/>
  <c r="E438" i="3"/>
  <c r="E437" i="3" s="1"/>
  <c r="E412" i="3" l="1"/>
  <c r="E37" i="3" l="1"/>
  <c r="E652" i="3" l="1"/>
  <c r="E799" i="3"/>
  <c r="E786" i="3"/>
  <c r="E774" i="3"/>
  <c r="E153" i="3"/>
  <c r="E768" i="3"/>
  <c r="E762" i="3"/>
  <c r="E761" i="3"/>
  <c r="E94" i="3"/>
  <c r="E116" i="3"/>
  <c r="E697" i="3" l="1"/>
  <c r="E696" i="3"/>
  <c r="E675" i="3"/>
  <c r="E590" i="3"/>
  <c r="E586" i="3"/>
  <c r="E426" i="3"/>
  <c r="E474" i="3"/>
  <c r="F134" i="3"/>
  <c r="G134" i="3"/>
  <c r="E588" i="3" l="1"/>
  <c r="E560" i="3"/>
  <c r="E229" i="3"/>
  <c r="F198" i="3"/>
  <c r="G198" i="3"/>
  <c r="E198" i="3"/>
  <c r="F808" i="3" l="1"/>
  <c r="F783" i="3"/>
  <c r="F353" i="3"/>
  <c r="F339" i="3"/>
  <c r="E793" i="3"/>
  <c r="E741" i="3" l="1"/>
  <c r="E213" i="3"/>
  <c r="E211" i="3"/>
  <c r="E164" i="3" l="1"/>
  <c r="E132" i="3" l="1"/>
  <c r="E151" i="3"/>
  <c r="E150" i="3" s="1"/>
  <c r="E60" i="3"/>
  <c r="E59" i="3"/>
  <c r="E58" i="3"/>
  <c r="E737" i="3"/>
  <c r="E324" i="3"/>
  <c r="E290" i="3"/>
  <c r="E289" i="3"/>
  <c r="E219" i="3"/>
  <c r="E109" i="3"/>
  <c r="E102" i="3"/>
  <c r="E76" i="3"/>
  <c r="E704" i="3"/>
  <c r="E688" i="3"/>
  <c r="E653" i="3"/>
  <c r="E651" i="3"/>
  <c r="E646" i="3"/>
  <c r="E645" i="3" s="1"/>
  <c r="G645" i="3"/>
  <c r="F645" i="3"/>
  <c r="E566" i="3"/>
  <c r="E561" i="3"/>
  <c r="E558" i="3"/>
  <c r="E545" i="3"/>
  <c r="E533" i="3"/>
  <c r="E516" i="3"/>
  <c r="E483" i="3" l="1"/>
  <c r="E453" i="3" l="1"/>
  <c r="E425" i="3"/>
  <c r="E414" i="3"/>
  <c r="E406" i="3"/>
  <c r="E388" i="3"/>
  <c r="E61" i="3"/>
  <c r="E818" i="3"/>
  <c r="E802" i="3"/>
  <c r="E801" i="3"/>
  <c r="E797" i="3"/>
  <c r="E796" i="3"/>
  <c r="E713" i="3"/>
  <c r="E600" i="3"/>
  <c r="E598" i="3"/>
  <c r="E436" i="3"/>
  <c r="E429" i="3"/>
  <c r="E380" i="3"/>
  <c r="E358" i="3"/>
  <c r="E354" i="3"/>
  <c r="E345" i="3"/>
  <c r="E272" i="3"/>
  <c r="E254" i="3"/>
  <c r="E191" i="3"/>
  <c r="E187" i="3"/>
  <c r="E90" i="3"/>
  <c r="E82" i="3" l="1"/>
  <c r="E81" i="3"/>
  <c r="E80" i="3"/>
  <c r="E40" i="3"/>
  <c r="E38" i="3"/>
  <c r="E33" i="3"/>
  <c r="E30" i="3"/>
  <c r="E29" i="3"/>
  <c r="E28" i="3" s="1"/>
  <c r="E27" i="3"/>
  <c r="E24" i="3"/>
  <c r="F668" i="3" l="1"/>
  <c r="G668" i="3"/>
  <c r="E668" i="3"/>
  <c r="F592" i="3"/>
  <c r="F591" i="3" s="1"/>
  <c r="G592" i="3"/>
  <c r="G591" i="3" s="1"/>
  <c r="E592" i="3"/>
  <c r="E591" i="3" s="1"/>
  <c r="E771" i="3"/>
  <c r="E770" i="3"/>
  <c r="E773" i="3"/>
  <c r="E772" i="3" s="1"/>
  <c r="E763" i="3"/>
  <c r="F641" i="3"/>
  <c r="G641" i="3"/>
  <c r="E641" i="3"/>
  <c r="E642" i="3"/>
  <c r="E640" i="3"/>
  <c r="E639" i="3"/>
  <c r="F632" i="3"/>
  <c r="G632" i="3"/>
  <c r="E633" i="3"/>
  <c r="E632" i="3" s="1"/>
  <c r="F635" i="3"/>
  <c r="G635" i="3"/>
  <c r="E636" i="3"/>
  <c r="E635" i="3" s="1"/>
  <c r="E627" i="3"/>
  <c r="E625" i="3"/>
  <c r="E623" i="3"/>
  <c r="F617" i="3"/>
  <c r="F616" i="3" s="1"/>
  <c r="G617" i="3"/>
  <c r="G616" i="3" s="1"/>
  <c r="E617" i="3"/>
  <c r="E616" i="3" s="1"/>
  <c r="F552" i="3"/>
  <c r="G552" i="3"/>
  <c r="E552" i="3"/>
  <c r="E526" i="3"/>
  <c r="E528" i="3"/>
  <c r="F501" i="3"/>
  <c r="G501" i="3"/>
  <c r="E501" i="3"/>
  <c r="F468" i="3"/>
  <c r="G468" i="3"/>
  <c r="E468" i="3"/>
  <c r="F83" i="3"/>
  <c r="G83" i="3"/>
  <c r="E83" i="3"/>
  <c r="F122" i="3"/>
  <c r="G122" i="3"/>
  <c r="F124" i="3"/>
  <c r="G124" i="3"/>
  <c r="E124" i="3"/>
  <c r="E122" i="3"/>
  <c r="F398" i="3"/>
  <c r="F397" i="3" s="1"/>
  <c r="G398" i="3"/>
  <c r="G397" i="3" s="1"/>
  <c r="E398" i="3"/>
  <c r="E397" i="3" s="1"/>
  <c r="E330" i="3"/>
  <c r="E334" i="3"/>
  <c r="F278" i="3"/>
  <c r="G278" i="3"/>
  <c r="E278" i="3"/>
  <c r="E210" i="3"/>
  <c r="E235" i="3"/>
  <c r="E69" i="3"/>
  <c r="F782" i="3"/>
  <c r="F781" i="3" s="1"/>
  <c r="G782" i="3"/>
  <c r="G781" i="3" s="1"/>
  <c r="E782" i="3"/>
  <c r="E781" i="3" s="1"/>
  <c r="F121" i="3" l="1"/>
  <c r="G121" i="3"/>
  <c r="E121" i="3"/>
  <c r="F778" i="3" l="1"/>
  <c r="F777" i="3" s="1"/>
  <c r="G778" i="3"/>
  <c r="G777" i="3" s="1"/>
  <c r="E778" i="3"/>
  <c r="E777" i="3" s="1"/>
  <c r="E718" i="3"/>
  <c r="E717" i="3"/>
  <c r="F333" i="3" l="1"/>
  <c r="G333" i="3"/>
  <c r="E333" i="3"/>
  <c r="F331" i="3"/>
  <c r="G331" i="3"/>
  <c r="E331" i="3"/>
  <c r="F200" i="3"/>
  <c r="F197" i="3" s="1"/>
  <c r="G200" i="3"/>
  <c r="G197" i="3" s="1"/>
  <c r="E200" i="3"/>
  <c r="E197" i="3" s="1"/>
  <c r="F562" i="3" l="1"/>
  <c r="G562" i="3"/>
  <c r="E562" i="3"/>
  <c r="G185" i="3" l="1"/>
  <c r="F185" i="3"/>
  <c r="G187" i="3"/>
  <c r="F187" i="3"/>
  <c r="G353" i="3"/>
  <c r="F376" i="3"/>
  <c r="F229" i="3"/>
  <c r="F426" i="3"/>
  <c r="F424" i="3" s="1"/>
  <c r="G424" i="3"/>
  <c r="E424" i="3"/>
  <c r="F688" i="3"/>
  <c r="E85" i="3"/>
  <c r="E65" i="3"/>
  <c r="E751" i="3"/>
  <c r="E750" i="3" s="1"/>
  <c r="E756" i="3"/>
  <c r="G291" i="3"/>
  <c r="E293" i="3"/>
  <c r="E291" i="3" s="1"/>
  <c r="F101" i="3"/>
  <c r="G101" i="3"/>
  <c r="E75" i="3"/>
  <c r="F666" i="3"/>
  <c r="F665" i="3" s="1"/>
  <c r="G666" i="3"/>
  <c r="G665" i="3" s="1"/>
  <c r="E666" i="3"/>
  <c r="E665" i="3" s="1"/>
  <c r="E767" i="3"/>
  <c r="E658" i="3"/>
  <c r="E657" i="3"/>
  <c r="E656" i="3"/>
  <c r="E614" i="3"/>
  <c r="E613" i="3"/>
  <c r="E577" i="3"/>
  <c r="E547" i="3"/>
  <c r="E522" i="3"/>
  <c r="E524" i="3"/>
  <c r="E518" i="3"/>
  <c r="E512" i="3"/>
  <c r="E500" i="3"/>
  <c r="E496" i="3"/>
  <c r="E487" i="3"/>
  <c r="E480" i="3"/>
  <c r="E467" i="3"/>
  <c r="E147" i="3"/>
  <c r="E146" i="3"/>
  <c r="E456" i="3"/>
  <c r="E455" i="3"/>
  <c r="G405" i="3"/>
  <c r="F403" i="3"/>
  <c r="G403" i="3"/>
  <c r="E395" i="3"/>
  <c r="F387" i="3"/>
  <c r="G387" i="3"/>
  <c r="E385" i="3"/>
  <c r="E248" i="3"/>
  <c r="F214" i="3"/>
  <c r="G214" i="3"/>
  <c r="E214" i="3"/>
  <c r="F167" i="3"/>
  <c r="F166" i="3" s="1"/>
  <c r="G167" i="3"/>
  <c r="G166" i="3" s="1"/>
  <c r="E167" i="3"/>
  <c r="E166" i="3" s="1"/>
  <c r="F163" i="3"/>
  <c r="G163" i="3"/>
  <c r="E163" i="3"/>
  <c r="E754" i="3"/>
  <c r="F731" i="3"/>
  <c r="G731" i="3"/>
  <c r="E731" i="3"/>
  <c r="E730" i="3"/>
  <c r="E722" i="3"/>
  <c r="E720" i="3"/>
  <c r="F716" i="3"/>
  <c r="G716" i="3"/>
  <c r="E716" i="3"/>
  <c r="E604" i="3"/>
  <c r="E462" i="3"/>
  <c r="E443" i="3"/>
  <c r="E404" i="3"/>
  <c r="E376" i="3"/>
  <c r="E342" i="3"/>
  <c r="E322" i="3"/>
  <c r="E270" i="3"/>
  <c r="E267" i="3"/>
  <c r="E260" i="3"/>
  <c r="E209" i="3"/>
  <c r="E185" i="3"/>
  <c r="E173" i="3"/>
  <c r="E114" i="3"/>
  <c r="E39" i="3"/>
  <c r="E18" i="3"/>
  <c r="E22" i="3"/>
  <c r="G818" i="3"/>
  <c r="F818" i="3"/>
  <c r="E74" i="3" l="1"/>
  <c r="G58" i="3"/>
  <c r="F58" i="3"/>
  <c r="G69" i="3" l="1"/>
  <c r="F69" i="3"/>
  <c r="G528" i="3" l="1"/>
  <c r="F528" i="3"/>
  <c r="G510" i="3"/>
  <c r="F510" i="3"/>
  <c r="G462" i="3"/>
  <c r="F462" i="3"/>
  <c r="G179" i="3"/>
  <c r="F179" i="3"/>
  <c r="E537" i="3"/>
  <c r="E288" i="3" l="1"/>
  <c r="F206" i="3" l="1"/>
  <c r="G206" i="3"/>
  <c r="E207" i="3"/>
  <c r="E206" i="3" s="1"/>
  <c r="E89" i="3" l="1"/>
  <c r="E103" i="3"/>
  <c r="E689" i="3"/>
  <c r="E609" i="3"/>
  <c r="E570" i="3"/>
  <c r="E567" i="3"/>
  <c r="E535" i="3"/>
  <c r="E294" i="3"/>
  <c r="E306" i="3"/>
  <c r="E233" i="3" l="1"/>
  <c r="E813" i="3"/>
  <c r="E460" i="3"/>
  <c r="E403" i="3"/>
  <c r="E382" i="3"/>
  <c r="E366" i="3"/>
  <c r="E227" i="3"/>
  <c r="E221" i="3"/>
  <c r="E188" i="3"/>
  <c r="E179" i="3"/>
  <c r="F628" i="3" l="1"/>
  <c r="G628" i="3"/>
  <c r="E628" i="3"/>
  <c r="F509" i="3"/>
  <c r="G509" i="3"/>
  <c r="E509" i="3"/>
  <c r="E611" i="3"/>
  <c r="F559" i="3"/>
  <c r="G559" i="3"/>
  <c r="E559" i="3"/>
  <c r="F534" i="3"/>
  <c r="G534" i="3"/>
  <c r="E534" i="3"/>
  <c r="E494" i="3"/>
  <c r="E476" i="3"/>
  <c r="E728" i="3" l="1"/>
  <c r="E726" i="3"/>
  <c r="F695" i="3" l="1"/>
  <c r="G695" i="3"/>
  <c r="E695" i="3"/>
  <c r="F676" i="3"/>
  <c r="G676" i="3"/>
  <c r="E676" i="3"/>
  <c r="F589" i="3"/>
  <c r="G589" i="3"/>
  <c r="E589" i="3"/>
  <c r="F587" i="3"/>
  <c r="G587" i="3"/>
  <c r="E587" i="3"/>
  <c r="E142" i="3"/>
  <c r="E140" i="3"/>
  <c r="E138" i="3"/>
  <c r="E416" i="3"/>
  <c r="E347" i="3"/>
  <c r="E318" i="3"/>
  <c r="E316" i="3"/>
  <c r="E311" i="3"/>
  <c r="F230" i="3"/>
  <c r="G230" i="3"/>
  <c r="F232" i="3"/>
  <c r="G232" i="3"/>
  <c r="E232" i="3"/>
  <c r="E230" i="3"/>
  <c r="E805" i="3"/>
  <c r="E804" i="3"/>
  <c r="F787" i="3" l="1"/>
  <c r="G787" i="3"/>
  <c r="E787" i="3"/>
  <c r="E378" i="3" l="1"/>
  <c r="E374" i="3"/>
  <c r="F361" i="3"/>
  <c r="G361" i="3"/>
  <c r="E361" i="3"/>
  <c r="E263" i="3"/>
  <c r="E258" i="3"/>
  <c r="E225" i="3"/>
  <c r="E724" i="3"/>
  <c r="E745" i="3"/>
  <c r="F293" i="3"/>
  <c r="F291" i="3" s="1"/>
  <c r="F290" i="3"/>
  <c r="F288" i="3" s="1"/>
  <c r="G288" i="3"/>
  <c r="E302" i="3"/>
  <c r="E300" i="3"/>
  <c r="F624" i="3"/>
  <c r="G624" i="3"/>
  <c r="E624" i="3"/>
  <c r="F550" i="3"/>
  <c r="F549" i="3" s="1"/>
  <c r="G550" i="3"/>
  <c r="G549" i="3" s="1"/>
  <c r="E550" i="3"/>
  <c r="E549" i="3" s="1"/>
  <c r="F536" i="3"/>
  <c r="G536" i="3"/>
  <c r="E536" i="3"/>
  <c r="E525" i="3"/>
  <c r="F523" i="3"/>
  <c r="G523" i="3"/>
  <c r="F525" i="3"/>
  <c r="G525" i="3"/>
  <c r="E523" i="3"/>
  <c r="F499" i="3"/>
  <c r="F498" i="3" s="1"/>
  <c r="G499" i="3"/>
  <c r="G498" i="3" s="1"/>
  <c r="E499" i="3"/>
  <c r="E498" i="3" s="1"/>
  <c r="F475" i="3"/>
  <c r="G475" i="3"/>
  <c r="E475" i="3"/>
  <c r="F466" i="3"/>
  <c r="F465" i="3" s="1"/>
  <c r="G466" i="3"/>
  <c r="G465" i="3" s="1"/>
  <c r="E466" i="3"/>
  <c r="E465" i="3" s="1"/>
  <c r="F753" i="3"/>
  <c r="G753" i="3"/>
  <c r="E753" i="3"/>
  <c r="F428" i="3"/>
  <c r="F427" i="3" s="1"/>
  <c r="G428" i="3"/>
  <c r="G427" i="3" s="1"/>
  <c r="F415" i="3"/>
  <c r="G415" i="3"/>
  <c r="F413" i="3"/>
  <c r="G413" i="3"/>
  <c r="F411" i="3"/>
  <c r="G411" i="3"/>
  <c r="F325" i="3"/>
  <c r="G325" i="3"/>
  <c r="E325" i="3"/>
  <c r="F218" i="3"/>
  <c r="G218" i="3"/>
  <c r="E352" i="3" l="1"/>
  <c r="F226" i="3"/>
  <c r="G226" i="3"/>
  <c r="E226" i="3"/>
  <c r="F208" i="3"/>
  <c r="G208" i="3"/>
  <c r="F176" i="3"/>
  <c r="G176" i="3"/>
  <c r="E176" i="3"/>
  <c r="F174" i="3"/>
  <c r="G174" i="3"/>
  <c r="E174" i="3"/>
  <c r="E73" i="3"/>
  <c r="F205" i="3" l="1"/>
  <c r="G205" i="3"/>
  <c r="F744" i="3"/>
  <c r="F743" i="3" s="1"/>
  <c r="F742" i="3" s="1"/>
  <c r="G744" i="3"/>
  <c r="G743" i="3" s="1"/>
  <c r="G742" i="3" s="1"/>
  <c r="E744" i="3"/>
  <c r="E743" i="3" s="1"/>
  <c r="E742" i="3" s="1"/>
  <c r="E284" i="3"/>
  <c r="E218" i="3"/>
  <c r="E422" i="3"/>
  <c r="E420" i="3"/>
  <c r="E418" i="3"/>
  <c r="E415" i="3"/>
  <c r="E413" i="3"/>
  <c r="E411" i="3"/>
  <c r="E390" i="3"/>
  <c r="E387" i="3"/>
  <c r="E313" i="3" l="1"/>
  <c r="E241" i="3"/>
  <c r="E239" i="3"/>
  <c r="E237" i="3"/>
  <c r="E428" i="3"/>
  <c r="E427" i="3" s="1"/>
  <c r="E117" i="3"/>
  <c r="E95" i="3"/>
  <c r="E139" i="3"/>
  <c r="E349" i="3" l="1"/>
  <c r="G64" i="3"/>
  <c r="G63" i="3" s="1"/>
  <c r="G62" i="3" s="1"/>
  <c r="F64" i="3"/>
  <c r="F63" i="3" s="1"/>
  <c r="F62" i="3" s="1"/>
  <c r="E64" i="3"/>
  <c r="E63" i="3" s="1"/>
  <c r="E62" i="3" s="1"/>
  <c r="E216" i="3"/>
  <c r="F381" i="3"/>
  <c r="G381" i="3"/>
  <c r="E46" i="3"/>
  <c r="E45" i="3"/>
  <c r="F344" i="3" l="1"/>
  <c r="G344" i="3"/>
  <c r="E344" i="3"/>
  <c r="E360" i="3"/>
  <c r="F626" i="3" l="1"/>
  <c r="G626" i="3"/>
  <c r="F372" i="3" l="1"/>
  <c r="F329" i="3"/>
  <c r="F328" i="3" s="1"/>
  <c r="G329" i="3"/>
  <c r="G328" i="3" s="1"/>
  <c r="G287" i="3"/>
  <c r="E287" i="3"/>
  <c r="F583" i="3"/>
  <c r="G583" i="3"/>
  <c r="E583" i="3"/>
  <c r="F793" i="3"/>
  <c r="G374" i="3"/>
  <c r="F374" i="3"/>
  <c r="F364" i="3"/>
  <c r="F342" i="3"/>
  <c r="G211" i="3"/>
  <c r="G210" i="3" s="1"/>
  <c r="F211" i="3"/>
  <c r="F210" i="3" s="1"/>
  <c r="G191" i="3"/>
  <c r="F191" i="3"/>
  <c r="E329" i="3"/>
  <c r="E328" i="3" s="1"/>
  <c r="F287" i="3" l="1"/>
  <c r="G569" i="3" l="1"/>
  <c r="F569" i="3"/>
  <c r="E569" i="3"/>
  <c r="E680" i="3" l="1"/>
  <c r="E662" i="3"/>
  <c r="F622" i="3" l="1"/>
  <c r="F621" i="3" s="1"/>
  <c r="G622" i="3"/>
  <c r="G621" i="3" s="1"/>
  <c r="E626" i="3"/>
  <c r="E622" i="3"/>
  <c r="F576" i="3"/>
  <c r="G576" i="3"/>
  <c r="E576" i="3"/>
  <c r="E543" i="3"/>
  <c r="F543" i="3"/>
  <c r="G543" i="3"/>
  <c r="E521" i="3"/>
  <c r="F521" i="3"/>
  <c r="G521" i="3"/>
  <c r="F493" i="3"/>
  <c r="G493" i="3"/>
  <c r="E493" i="3"/>
  <c r="F479" i="3"/>
  <c r="G479" i="3"/>
  <c r="E479" i="3"/>
  <c r="E134" i="3"/>
  <c r="E130" i="3"/>
  <c r="E454" i="3"/>
  <c r="E282" i="3"/>
  <c r="E621" i="3" l="1"/>
  <c r="E620" i="3" s="1"/>
  <c r="F620" i="3"/>
  <c r="G620" i="3"/>
  <c r="E601" i="3" l="1"/>
  <c r="E461" i="3"/>
  <c r="F442" i="3" l="1"/>
  <c r="F441" i="3" s="1"/>
  <c r="G442" i="3"/>
  <c r="G441" i="3" s="1"/>
  <c r="E442" i="3"/>
  <c r="E441" i="3" s="1"/>
  <c r="F435" i="3"/>
  <c r="F434" i="3" s="1"/>
  <c r="G435" i="3"/>
  <c r="G434" i="3" s="1"/>
  <c r="E435" i="3"/>
  <c r="E434" i="3" s="1"/>
  <c r="E423" i="3"/>
  <c r="F423" i="3"/>
  <c r="G423" i="3"/>
  <c r="E381" i="3"/>
  <c r="E372" i="3"/>
  <c r="E370" i="3"/>
  <c r="E368" i="3"/>
  <c r="E364" i="3"/>
  <c r="F359" i="3" l="1"/>
  <c r="G359" i="3"/>
  <c r="E359" i="3"/>
  <c r="E208" i="3"/>
  <c r="E205" i="3" s="1"/>
  <c r="F115" i="3"/>
  <c r="G115" i="3"/>
  <c r="E115" i="3"/>
  <c r="F91" i="3"/>
  <c r="G91" i="3"/>
  <c r="F88" i="3"/>
  <c r="G88" i="3"/>
  <c r="E91" i="3"/>
  <c r="E88" i="3"/>
  <c r="F72" i="3"/>
  <c r="G72" i="3"/>
  <c r="F47" i="3"/>
  <c r="G47" i="3"/>
  <c r="E72" i="3"/>
  <c r="E48" i="3" l="1"/>
  <c r="E47" i="3" s="1"/>
  <c r="E803" i="3" l="1"/>
  <c r="F129" i="3" l="1"/>
  <c r="G129" i="3"/>
  <c r="E101" i="3" l="1"/>
  <c r="F760" i="3"/>
  <c r="G760" i="3"/>
  <c r="E760" i="3"/>
  <c r="E129" i="3" l="1"/>
  <c r="F350" i="3"/>
  <c r="G350" i="3"/>
  <c r="E350" i="3"/>
  <c r="F348" i="3"/>
  <c r="G348" i="3"/>
  <c r="E348" i="3"/>
  <c r="F222" i="3" l="1"/>
  <c r="G222" i="3"/>
  <c r="E222" i="3"/>
  <c r="E23" i="3"/>
  <c r="F379" i="3" l="1"/>
  <c r="G379" i="3"/>
  <c r="E379" i="3"/>
  <c r="F377" i="3" l="1"/>
  <c r="G377" i="3"/>
  <c r="E377" i="3"/>
  <c r="G507" i="3" l="1"/>
  <c r="F507" i="3"/>
  <c r="G87" i="3"/>
  <c r="G85" i="3" s="1"/>
  <c r="F87" i="3"/>
  <c r="F85" i="3" s="1"/>
  <c r="G237" i="3" l="1"/>
  <c r="G820" i="3"/>
  <c r="E274" i="3" l="1"/>
  <c r="G433" i="3" l="1"/>
  <c r="G254" i="3"/>
  <c r="F482" i="3"/>
  <c r="G482" i="3"/>
  <c r="G821" i="3"/>
  <c r="F821" i="3"/>
  <c r="G751" i="3"/>
  <c r="G750" i="3" s="1"/>
  <c r="F751" i="3"/>
  <c r="F750" i="3" s="1"/>
  <c r="G741" i="3"/>
  <c r="F741" i="3"/>
  <c r="G684" i="3"/>
  <c r="F684" i="3"/>
  <c r="F237" i="3"/>
  <c r="F820" i="3"/>
  <c r="F433" i="3"/>
  <c r="F355" i="3"/>
  <c r="G355" i="3"/>
  <c r="E355" i="3"/>
  <c r="G352" i="3"/>
  <c r="F352" i="3"/>
  <c r="G260" i="3"/>
  <c r="F260" i="3"/>
  <c r="F44" i="3"/>
  <c r="G44" i="3"/>
  <c r="E44" i="3"/>
  <c r="G755" i="3" l="1"/>
  <c r="F755" i="3"/>
  <c r="E755" i="3"/>
  <c r="E701" i="3"/>
  <c r="F685" i="3"/>
  <c r="G685" i="3"/>
  <c r="E686" i="3"/>
  <c r="E685" i="3" s="1"/>
  <c r="E684" i="3"/>
  <c r="E683" i="3" s="1"/>
  <c r="F683" i="3"/>
  <c r="G683" i="3"/>
  <c r="F769" i="3"/>
  <c r="G769" i="3"/>
  <c r="E769" i="3"/>
  <c r="F766" i="3"/>
  <c r="G766" i="3"/>
  <c r="E766" i="3"/>
  <c r="F772" i="3"/>
  <c r="G772" i="3"/>
  <c r="F759" i="3"/>
  <c r="G759" i="3"/>
  <c r="E759" i="3"/>
  <c r="F638" i="3"/>
  <c r="F631" i="3" s="1"/>
  <c r="G638" i="3"/>
  <c r="G631" i="3" s="1"/>
  <c r="E638" i="3"/>
  <c r="E631" i="3" s="1"/>
  <c r="F612" i="3"/>
  <c r="G612" i="3"/>
  <c r="E612" i="3"/>
  <c r="F529" i="3"/>
  <c r="G529" i="3"/>
  <c r="E529" i="3"/>
  <c r="F527" i="3"/>
  <c r="G527" i="3"/>
  <c r="E527" i="3"/>
  <c r="F519" i="3"/>
  <c r="G519" i="3"/>
  <c r="E519" i="3"/>
  <c r="F486" i="3"/>
  <c r="G486" i="3"/>
  <c r="E486" i="3"/>
  <c r="F477" i="3"/>
  <c r="G477" i="3"/>
  <c r="E477" i="3"/>
  <c r="F133" i="3"/>
  <c r="G133" i="3"/>
  <c r="E133" i="3"/>
  <c r="E820" i="3"/>
  <c r="E507" i="3"/>
  <c r="E506" i="3" s="1"/>
  <c r="E505" i="3" s="1"/>
  <c r="F506" i="3"/>
  <c r="F505" i="3" s="1"/>
  <c r="G506" i="3"/>
  <c r="G505" i="3" s="1"/>
  <c r="E433" i="3"/>
  <c r="E341" i="3"/>
  <c r="E340" i="3" s="1"/>
  <c r="F341" i="3"/>
  <c r="F340" i="3" s="1"/>
  <c r="G341" i="3"/>
  <c r="G340" i="3" s="1"/>
  <c r="F338" i="3"/>
  <c r="F337" i="3" s="1"/>
  <c r="G338" i="3"/>
  <c r="G337" i="3" s="1"/>
  <c r="E338" i="3"/>
  <c r="E337" i="3" s="1"/>
  <c r="F242" i="3"/>
  <c r="G242" i="3"/>
  <c r="E242" i="3"/>
  <c r="E184" i="3"/>
  <c r="F184" i="3"/>
  <c r="G184" i="3"/>
  <c r="F53" i="3"/>
  <c r="F52" i="3" s="1"/>
  <c r="G53" i="3"/>
  <c r="G52" i="3" s="1"/>
  <c r="E53" i="3"/>
  <c r="E52" i="3" s="1"/>
  <c r="F42" i="3"/>
  <c r="G42" i="3"/>
  <c r="E42" i="3"/>
  <c r="E36" i="3"/>
  <c r="F765" i="3" l="1"/>
  <c r="E765" i="3"/>
  <c r="G765" i="3"/>
  <c r="F41" i="3"/>
  <c r="E41" i="3"/>
  <c r="G41" i="3"/>
  <c r="E807" i="3"/>
  <c r="E806" i="3" s="1"/>
  <c r="G807" i="3"/>
  <c r="G806" i="3" s="1"/>
  <c r="F807" i="3"/>
  <c r="F806" i="3" s="1"/>
  <c r="F679" i="3"/>
  <c r="F678" i="3" s="1"/>
  <c r="G679" i="3"/>
  <c r="G678" i="3" s="1"/>
  <c r="E679" i="3"/>
  <c r="E678" i="3" s="1"/>
  <c r="F539" i="3"/>
  <c r="F538" i="3" s="1"/>
  <c r="G539" i="3"/>
  <c r="G538" i="3" s="1"/>
  <c r="E482" i="3"/>
  <c r="F800" i="3" l="1"/>
  <c r="G800" i="3"/>
  <c r="E800" i="3"/>
  <c r="G447" i="3"/>
  <c r="G446" i="3" s="1"/>
  <c r="G445" i="3" s="1"/>
  <c r="G444" i="3" s="1"/>
  <c r="F447" i="3"/>
  <c r="F446" i="3" s="1"/>
  <c r="F445" i="3" s="1"/>
  <c r="F444" i="3" s="1"/>
  <c r="E447" i="3"/>
  <c r="E446" i="3" s="1"/>
  <c r="E445" i="3" s="1"/>
  <c r="E444" i="3" s="1"/>
  <c r="G729" i="3"/>
  <c r="F729" i="3"/>
  <c r="E729" i="3"/>
  <c r="G572" i="3"/>
  <c r="G571" i="3" s="1"/>
  <c r="F572" i="3"/>
  <c r="F571" i="3" s="1"/>
  <c r="E572" i="3"/>
  <c r="E571" i="3" s="1"/>
  <c r="E539" i="3"/>
  <c r="E538" i="3" s="1"/>
  <c r="G489" i="3"/>
  <c r="G488" i="3" s="1"/>
  <c r="F489" i="3"/>
  <c r="F488" i="3" s="1"/>
  <c r="E489" i="3"/>
  <c r="E488" i="3" s="1"/>
  <c r="G484" i="3"/>
  <c r="G481" i="3" s="1"/>
  <c r="F484" i="3"/>
  <c r="F481" i="3" s="1"/>
  <c r="E484" i="3"/>
  <c r="E481" i="3" s="1"/>
  <c r="G452" i="3"/>
  <c r="G451" i="3" s="1"/>
  <c r="G450" i="3" s="1"/>
  <c r="G449" i="3" s="1"/>
  <c r="F452" i="3"/>
  <c r="F451" i="3" s="1"/>
  <c r="F450" i="3" s="1"/>
  <c r="F449" i="3" s="1"/>
  <c r="E452" i="3"/>
  <c r="E451" i="3" s="1"/>
  <c r="E450" i="3" s="1"/>
  <c r="E449" i="3" s="1"/>
  <c r="G459" i="3"/>
  <c r="G458" i="3" s="1"/>
  <c r="G457" i="3" s="1"/>
  <c r="F459" i="3"/>
  <c r="F458" i="3" s="1"/>
  <c r="F457" i="3" s="1"/>
  <c r="E459" i="3"/>
  <c r="E458" i="3" s="1"/>
  <c r="E457" i="3" s="1"/>
  <c r="G421" i="3"/>
  <c r="F421" i="3"/>
  <c r="E421" i="3"/>
  <c r="G419" i="3"/>
  <c r="F419" i="3"/>
  <c r="E419" i="3"/>
  <c r="G417" i="3"/>
  <c r="F417" i="3"/>
  <c r="E417" i="3"/>
  <c r="G432" i="3"/>
  <c r="G431" i="3" s="1"/>
  <c r="G430" i="3" s="1"/>
  <c r="F432" i="3"/>
  <c r="F431" i="3" s="1"/>
  <c r="F430" i="3" s="1"/>
  <c r="E432" i="3"/>
  <c r="E431" i="3" s="1"/>
  <c r="E430" i="3" s="1"/>
  <c r="G375" i="3"/>
  <c r="F375" i="3"/>
  <c r="E375" i="3"/>
  <c r="G373" i="3"/>
  <c r="F373" i="3"/>
  <c r="E373" i="3"/>
  <c r="G371" i="3"/>
  <c r="F371" i="3"/>
  <c r="E371" i="3"/>
  <c r="G369" i="3"/>
  <c r="F369" i="3"/>
  <c r="E369" i="3"/>
  <c r="G367" i="3"/>
  <c r="F367" i="3"/>
  <c r="E367" i="3"/>
  <c r="G365" i="3"/>
  <c r="F365" i="3"/>
  <c r="E365" i="3"/>
  <c r="G363" i="3"/>
  <c r="F363" i="3"/>
  <c r="E363" i="3"/>
  <c r="E394" i="3"/>
  <c r="G394" i="3"/>
  <c r="F394" i="3"/>
  <c r="G392" i="3"/>
  <c r="F392" i="3"/>
  <c r="E392" i="3"/>
  <c r="G389" i="3"/>
  <c r="G386" i="3" s="1"/>
  <c r="F389" i="3"/>
  <c r="F386" i="3" s="1"/>
  <c r="E389" i="3"/>
  <c r="E386" i="3" s="1"/>
  <c r="G383" i="3"/>
  <c r="G343" i="3" s="1"/>
  <c r="F383" i="3"/>
  <c r="F343" i="3" s="1"/>
  <c r="E383" i="3"/>
  <c r="F440" i="3" l="1"/>
  <c r="G440" i="3"/>
  <c r="E440" i="3"/>
  <c r="G391" i="3"/>
  <c r="G336" i="3" s="1"/>
  <c r="G335" i="3" s="1"/>
  <c r="G327" i="3" s="1"/>
  <c r="F391" i="3"/>
  <c r="F336" i="3" s="1"/>
  <c r="F335" i="3" s="1"/>
  <c r="F327" i="3" s="1"/>
  <c r="E391" i="3"/>
  <c r="G301" i="3" l="1"/>
  <c r="F301" i="3"/>
  <c r="E301" i="3"/>
  <c r="G299" i="3"/>
  <c r="F299" i="3"/>
  <c r="E299" i="3"/>
  <c r="G281" i="3"/>
  <c r="G280" i="3" s="1"/>
  <c r="F281" i="3"/>
  <c r="F280" i="3" s="1"/>
  <c r="E281" i="3"/>
  <c r="E280" i="3" s="1"/>
  <c r="G273" i="3"/>
  <c r="F273" i="3"/>
  <c r="E273" i="3"/>
  <c r="G269" i="3"/>
  <c r="F269" i="3"/>
  <c r="E269" i="3"/>
  <c r="G266" i="3"/>
  <c r="G265" i="3" s="1"/>
  <c r="F266" i="3"/>
  <c r="F265" i="3" s="1"/>
  <c r="E266" i="3"/>
  <c r="E265" i="3" s="1"/>
  <c r="G262" i="3"/>
  <c r="G261" i="3" s="1"/>
  <c r="F262" i="3"/>
  <c r="F261" i="3" s="1"/>
  <c r="E262" i="3"/>
  <c r="E261" i="3" s="1"/>
  <c r="G259" i="3"/>
  <c r="F259" i="3"/>
  <c r="E259" i="3"/>
  <c r="F254" i="3"/>
  <c r="F253" i="3" s="1"/>
  <c r="F252" i="3" s="1"/>
  <c r="F251" i="3" s="1"/>
  <c r="E253" i="3"/>
  <c r="G253" i="3"/>
  <c r="G252" i="3" s="1"/>
  <c r="G251" i="3" s="1"/>
  <c r="E252" i="3" l="1"/>
  <c r="E251" i="3" s="1"/>
  <c r="G94" i="3"/>
  <c r="F94" i="3"/>
  <c r="G247" i="3"/>
  <c r="G246" i="3" s="1"/>
  <c r="G245" i="3" s="1"/>
  <c r="G244" i="3" s="1"/>
  <c r="F247" i="3"/>
  <c r="F246" i="3" s="1"/>
  <c r="F245" i="3" s="1"/>
  <c r="F244" i="3" s="1"/>
  <c r="E247" i="3"/>
  <c r="E246" i="3" s="1"/>
  <c r="E245" i="3" s="1"/>
  <c r="E244" i="3" s="1"/>
  <c r="G234" i="3"/>
  <c r="F234" i="3"/>
  <c r="E234" i="3"/>
  <c r="G224" i="3"/>
  <c r="F224" i="3"/>
  <c r="E224" i="3"/>
  <c r="F178" i="3"/>
  <c r="E178" i="3"/>
  <c r="G178" i="3"/>
  <c r="G61" i="3" l="1"/>
  <c r="F61" i="3"/>
  <c r="G59" i="3"/>
  <c r="F59" i="3"/>
  <c r="F312" i="3"/>
  <c r="F309" i="3" s="1"/>
  <c r="G312" i="3"/>
  <c r="G309" i="3" s="1"/>
  <c r="E312" i="3"/>
  <c r="F240" i="3"/>
  <c r="G240" i="3"/>
  <c r="E240" i="3"/>
  <c r="F238" i="3"/>
  <c r="G238" i="3"/>
  <c r="E238" i="3"/>
  <c r="G236" i="3"/>
  <c r="F236" i="3"/>
  <c r="E236" i="3"/>
  <c r="G819" i="3"/>
  <c r="F819" i="3"/>
  <c r="E819" i="3"/>
  <c r="E57" i="3" l="1"/>
  <c r="F812" i="3"/>
  <c r="G812" i="3"/>
  <c r="E812" i="3"/>
  <c r="E655" i="3" l="1"/>
  <c r="E644" i="3"/>
  <c r="E630" i="3" s="1"/>
  <c r="F597" i="3"/>
  <c r="G597" i="3"/>
  <c r="E597" i="3"/>
  <c r="E610" i="3"/>
  <c r="G346" i="3" l="1"/>
  <c r="F346" i="3"/>
  <c r="E346" i="3"/>
  <c r="G357" i="3"/>
  <c r="F357" i="3"/>
  <c r="E357" i="3"/>
  <c r="E343" i="3" s="1"/>
  <c r="E336" i="3" s="1"/>
  <c r="E335" i="3" s="1"/>
  <c r="E327" i="3" s="1"/>
  <c r="G220" i="3" l="1"/>
  <c r="F220" i="3"/>
  <c r="E220" i="3"/>
  <c r="F141" i="3"/>
  <c r="G141" i="3"/>
  <c r="E141" i="3"/>
  <c r="F610" i="3" l="1"/>
  <c r="G610" i="3"/>
  <c r="F740" i="3" l="1"/>
  <c r="F739" i="3" s="1"/>
  <c r="F738" i="3" s="1"/>
  <c r="G740" i="3"/>
  <c r="G739" i="3" s="1"/>
  <c r="G738" i="3" s="1"/>
  <c r="F565" i="3"/>
  <c r="F564" i="3" s="1"/>
  <c r="G565" i="3"/>
  <c r="G564" i="3" s="1"/>
  <c r="E565" i="3"/>
  <c r="E564" i="3" s="1"/>
  <c r="E740" i="3" l="1"/>
  <c r="E739" i="3" s="1"/>
  <c r="E738" i="3" s="1"/>
  <c r="F532" i="3" l="1"/>
  <c r="F531" i="3" s="1"/>
  <c r="G532" i="3"/>
  <c r="G531" i="3" s="1"/>
  <c r="E532" i="3"/>
  <c r="E531" i="3" s="1"/>
  <c r="F405" i="3"/>
  <c r="E405" i="3"/>
  <c r="G51" i="3" l="1"/>
  <c r="G50" i="3" s="1"/>
  <c r="F51" i="3"/>
  <c r="F50" i="3" s="1"/>
  <c r="F661" i="3"/>
  <c r="G661" i="3"/>
  <c r="G660" i="3" s="1"/>
  <c r="E661" i="3"/>
  <c r="G644" i="3"/>
  <c r="G630" i="3" s="1"/>
  <c r="F644" i="3" l="1"/>
  <c r="F630" i="3" s="1"/>
  <c r="F660" i="3"/>
  <c r="E51" i="3"/>
  <c r="E50" i="3" s="1"/>
  <c r="E660" i="3"/>
  <c r="E798" i="3" l="1"/>
  <c r="F798" i="3"/>
  <c r="G798" i="3"/>
  <c r="E297" i="3" l="1"/>
  <c r="E296" i="3" s="1"/>
  <c r="E286" i="3" s="1"/>
  <c r="F297" i="3"/>
  <c r="F296" i="3" s="1"/>
  <c r="F286" i="3" s="1"/>
  <c r="G297" i="3"/>
  <c r="G296" i="3" s="1"/>
  <c r="G286" i="3" s="1"/>
  <c r="F817" i="3" l="1"/>
  <c r="F816" i="3" s="1"/>
  <c r="G817" i="3"/>
  <c r="G811" i="3"/>
  <c r="G810" i="3" s="1"/>
  <c r="G809" i="3" s="1"/>
  <c r="F785" i="3"/>
  <c r="F784" i="3" s="1"/>
  <c r="F780" i="3" s="1"/>
  <c r="F776" i="3" s="1"/>
  <c r="G785" i="3"/>
  <c r="F792" i="3"/>
  <c r="G792" i="3"/>
  <c r="G791" i="3" s="1"/>
  <c r="F795" i="3"/>
  <c r="G795" i="3"/>
  <c r="F803" i="3"/>
  <c r="G803" i="3"/>
  <c r="F749" i="3"/>
  <c r="G749" i="3"/>
  <c r="F674" i="3"/>
  <c r="G674" i="3"/>
  <c r="G673" i="3" s="1"/>
  <c r="G672" i="3" s="1"/>
  <c r="F687" i="3"/>
  <c r="F682" i="3" s="1"/>
  <c r="G687" i="3"/>
  <c r="G682" i="3" s="1"/>
  <c r="G694" i="3"/>
  <c r="G693" i="3" s="1"/>
  <c r="F700" i="3"/>
  <c r="G700" i="3"/>
  <c r="F703" i="3"/>
  <c r="G703" i="3"/>
  <c r="F706" i="3"/>
  <c r="G706" i="3"/>
  <c r="G705" i="3" s="1"/>
  <c r="E650" i="3"/>
  <c r="F650" i="3"/>
  <c r="G650" i="3"/>
  <c r="F655" i="3"/>
  <c r="G655" i="3"/>
  <c r="F599" i="3"/>
  <c r="F596" i="3" s="1"/>
  <c r="G599" i="3"/>
  <c r="G596" i="3" s="1"/>
  <c r="E599" i="3"/>
  <c r="E596" i="3" s="1"/>
  <c r="G557" i="3"/>
  <c r="G556" i="3" s="1"/>
  <c r="F557" i="3"/>
  <c r="F556" i="3" s="1"/>
  <c r="F578" i="3"/>
  <c r="F575" i="3" s="1"/>
  <c r="G578" i="3"/>
  <c r="G575" i="3" s="1"/>
  <c r="F585" i="3"/>
  <c r="F582" i="3" s="1"/>
  <c r="F581" i="3" s="1"/>
  <c r="G585" i="3"/>
  <c r="G582" i="3" s="1"/>
  <c r="G581" i="3" s="1"/>
  <c r="F603" i="3"/>
  <c r="G603" i="3"/>
  <c r="G602" i="3" s="1"/>
  <c r="F608" i="3"/>
  <c r="F607" i="3" s="1"/>
  <c r="G608" i="3"/>
  <c r="G607" i="3" s="1"/>
  <c r="F473" i="3"/>
  <c r="F472" i="3" s="1"/>
  <c r="G473" i="3"/>
  <c r="G472" i="3" s="1"/>
  <c r="F495" i="3"/>
  <c r="F492" i="3" s="1"/>
  <c r="G495" i="3"/>
  <c r="G492" i="3" s="1"/>
  <c r="F511" i="3"/>
  <c r="G511" i="3"/>
  <c r="F513" i="3"/>
  <c r="G513" i="3"/>
  <c r="F515" i="3"/>
  <c r="G515" i="3"/>
  <c r="F517" i="3"/>
  <c r="G517" i="3"/>
  <c r="F546" i="3"/>
  <c r="G546" i="3"/>
  <c r="F508" i="3" l="1"/>
  <c r="F504" i="3" s="1"/>
  <c r="G508" i="3"/>
  <c r="G504" i="3" s="1"/>
  <c r="G555" i="3"/>
  <c r="G784" i="3"/>
  <c r="G471" i="3"/>
  <c r="F471" i="3"/>
  <c r="G764" i="3"/>
  <c r="G681" i="3"/>
  <c r="G671" i="3" s="1"/>
  <c r="G664" i="3" s="1"/>
  <c r="G748" i="3"/>
  <c r="G747" i="3" s="1"/>
  <c r="G758" i="3"/>
  <c r="G816" i="3"/>
  <c r="G815" i="3" s="1"/>
  <c r="G814" i="3" s="1"/>
  <c r="G574" i="3"/>
  <c r="F705" i="3"/>
  <c r="F791" i="3"/>
  <c r="F555" i="3"/>
  <c r="F602" i="3"/>
  <c r="F694" i="3"/>
  <c r="G649" i="3"/>
  <c r="G648" i="3" s="1"/>
  <c r="G580" i="3"/>
  <c r="F649" i="3"/>
  <c r="G699" i="3"/>
  <c r="G698" i="3" s="1"/>
  <c r="G692" i="3" s="1"/>
  <c r="G691" i="3" s="1"/>
  <c r="G794" i="3"/>
  <c r="G790" i="3" s="1"/>
  <c r="F794" i="3"/>
  <c r="F699" i="3"/>
  <c r="F673" i="3"/>
  <c r="F672" i="3" s="1"/>
  <c r="G595" i="3"/>
  <c r="G606" i="3"/>
  <c r="G542" i="3"/>
  <c r="G541" i="3" s="1"/>
  <c r="F542" i="3"/>
  <c r="G491" i="3"/>
  <c r="G780" i="3" l="1"/>
  <c r="G776" i="3" s="1"/>
  <c r="F790" i="3"/>
  <c r="G554" i="3"/>
  <c r="G548" i="3" s="1"/>
  <c r="G619" i="3"/>
  <c r="G615" i="3" s="1"/>
  <c r="G757" i="3"/>
  <c r="G746" i="3" s="1"/>
  <c r="G789" i="3"/>
  <c r="F811" i="3"/>
  <c r="F758" i="3"/>
  <c r="F606" i="3"/>
  <c r="F698" i="3"/>
  <c r="F764" i="3"/>
  <c r="F491" i="3"/>
  <c r="F693" i="3"/>
  <c r="F595" i="3"/>
  <c r="F574" i="3"/>
  <c r="F748" i="3"/>
  <c r="F747" i="3" s="1"/>
  <c r="F681" i="3"/>
  <c r="F815" i="3"/>
  <c r="F541" i="3"/>
  <c r="F648" i="3"/>
  <c r="G605" i="3"/>
  <c r="G594" i="3" s="1"/>
  <c r="G663" i="3"/>
  <c r="G503" i="3"/>
  <c r="G497" i="3" s="1"/>
  <c r="G470" i="3"/>
  <c r="G464" i="3" s="1"/>
  <c r="F619" i="3" l="1"/>
  <c r="F615" i="3" s="1"/>
  <c r="G775" i="3"/>
  <c r="F554" i="3"/>
  <c r="F789" i="3"/>
  <c r="F814" i="3"/>
  <c r="F671" i="3"/>
  <c r="F664" i="3" s="1"/>
  <c r="F692" i="3"/>
  <c r="F691" i="3" s="1"/>
  <c r="F810" i="3"/>
  <c r="F809" i="3" s="1"/>
  <c r="F580" i="3"/>
  <c r="F503" i="3"/>
  <c r="F497" i="3" s="1"/>
  <c r="F470" i="3"/>
  <c r="F464" i="3" s="1"/>
  <c r="F605" i="3"/>
  <c r="F594" i="3" s="1"/>
  <c r="F757" i="3"/>
  <c r="F746" i="3" s="1"/>
  <c r="G463" i="3"/>
  <c r="F548" i="3" l="1"/>
  <c r="F775" i="3"/>
  <c r="E758" i="3"/>
  <c r="E817" i="3"/>
  <c r="E816" i="3" s="1"/>
  <c r="F463" i="3" l="1"/>
  <c r="F663" i="3"/>
  <c r="E811" i="3" l="1"/>
  <c r="E815" i="3"/>
  <c r="E814" i="3" l="1"/>
  <c r="E810" i="3"/>
  <c r="E809" i="3" s="1"/>
  <c r="E795" i="3" l="1"/>
  <c r="E794" i="3" l="1"/>
  <c r="E792" i="3"/>
  <c r="E791" i="3" l="1"/>
  <c r="E790" i="3" s="1"/>
  <c r="E785" i="3" l="1"/>
  <c r="E784" i="3" s="1"/>
  <c r="E780" i="3" s="1"/>
  <c r="E789" i="3" l="1"/>
  <c r="E749" i="3"/>
  <c r="E776" i="3" l="1"/>
  <c r="G736" i="3"/>
  <c r="F736" i="3"/>
  <c r="E764" i="3" l="1"/>
  <c r="E775" i="3"/>
  <c r="E748" i="3"/>
  <c r="E747" i="3" s="1"/>
  <c r="E736" i="3"/>
  <c r="F735" i="3"/>
  <c r="G727" i="3"/>
  <c r="F727" i="3"/>
  <c r="E727" i="3"/>
  <c r="G725" i="3"/>
  <c r="F725" i="3"/>
  <c r="E725" i="3"/>
  <c r="G723" i="3"/>
  <c r="F723" i="3"/>
  <c r="E723" i="3"/>
  <c r="G721" i="3"/>
  <c r="F721" i="3"/>
  <c r="E721" i="3"/>
  <c r="G719" i="3"/>
  <c r="F719" i="3"/>
  <c r="E719" i="3"/>
  <c r="G715" i="3" l="1"/>
  <c r="F715" i="3"/>
  <c r="E715" i="3"/>
  <c r="G735" i="3"/>
  <c r="E757" i="3"/>
  <c r="E746" i="3" s="1"/>
  <c r="E735" i="3"/>
  <c r="G734" i="3" l="1"/>
  <c r="G733" i="3" s="1"/>
  <c r="F734" i="3"/>
  <c r="G712" i="3"/>
  <c r="G711" i="3" s="1"/>
  <c r="F712" i="3"/>
  <c r="E712" i="3"/>
  <c r="E706" i="3"/>
  <c r="E703" i="3"/>
  <c r="E700" i="3"/>
  <c r="E694" i="3"/>
  <c r="E687" i="3"/>
  <c r="E682" i="3" s="1"/>
  <c r="E674" i="3"/>
  <c r="F733" i="3" l="1"/>
  <c r="F714" i="3" s="1"/>
  <c r="G714" i="3"/>
  <c r="E693" i="3"/>
  <c r="E711" i="3"/>
  <c r="E710" i="3" s="1"/>
  <c r="E705" i="3"/>
  <c r="E673" i="3"/>
  <c r="E672" i="3" s="1"/>
  <c r="F711" i="3"/>
  <c r="E699" i="3"/>
  <c r="G710" i="3"/>
  <c r="E734" i="3"/>
  <c r="E608" i="3"/>
  <c r="E607" i="3" s="1"/>
  <c r="E733" i="3" l="1"/>
  <c r="E714" i="3" s="1"/>
  <c r="E698" i="3"/>
  <c r="E681" i="3"/>
  <c r="F710" i="3"/>
  <c r="G709" i="3"/>
  <c r="E603" i="3"/>
  <c r="E602" i="3" s="1"/>
  <c r="E595" i="3" s="1"/>
  <c r="E585" i="3"/>
  <c r="E582" i="3" s="1"/>
  <c r="E581" i="3" s="1"/>
  <c r="E578" i="3"/>
  <c r="E575" i="3" s="1"/>
  <c r="E557" i="3"/>
  <c r="E556" i="3" s="1"/>
  <c r="E546" i="3"/>
  <c r="E517" i="3"/>
  <c r="E515" i="3"/>
  <c r="E513" i="3"/>
  <c r="E511" i="3"/>
  <c r="E495" i="3"/>
  <c r="E492" i="3" s="1"/>
  <c r="E473" i="3"/>
  <c r="E472" i="3" s="1"/>
  <c r="E508" i="3" l="1"/>
  <c r="E504" i="3" s="1"/>
  <c r="E471" i="3"/>
  <c r="F709" i="3"/>
  <c r="E671" i="3"/>
  <c r="E664" i="3" s="1"/>
  <c r="E649" i="3"/>
  <c r="E692" i="3"/>
  <c r="E691" i="3" s="1"/>
  <c r="E555" i="3"/>
  <c r="E542" i="3"/>
  <c r="G409" i="3"/>
  <c r="F409" i="3"/>
  <c r="E409" i="3"/>
  <c r="G407" i="3"/>
  <c r="F407" i="3"/>
  <c r="E407" i="3"/>
  <c r="E402" i="3" l="1"/>
  <c r="F402" i="3"/>
  <c r="F401" i="3" s="1"/>
  <c r="G402" i="3"/>
  <c r="G401" i="3" s="1"/>
  <c r="E491" i="3"/>
  <c r="E470" i="3" s="1"/>
  <c r="E464" i="3" s="1"/>
  <c r="E574" i="3"/>
  <c r="E541" i="3"/>
  <c r="E709" i="3"/>
  <c r="E606" i="3"/>
  <c r="E648" i="3"/>
  <c r="E619" i="3" s="1"/>
  <c r="E615" i="3" s="1"/>
  <c r="G323" i="3"/>
  <c r="F323" i="3"/>
  <c r="E323" i="3"/>
  <c r="G321" i="3"/>
  <c r="F321" i="3"/>
  <c r="E321" i="3"/>
  <c r="G317" i="3"/>
  <c r="F317" i="3"/>
  <c r="E317" i="3"/>
  <c r="G315" i="3"/>
  <c r="F315" i="3"/>
  <c r="E315" i="3"/>
  <c r="G310" i="3"/>
  <c r="F310" i="3"/>
  <c r="E310" i="3"/>
  <c r="E309" i="3" s="1"/>
  <c r="G305" i="3"/>
  <c r="G304" i="3" s="1"/>
  <c r="F305" i="3"/>
  <c r="E305" i="3"/>
  <c r="G283" i="3"/>
  <c r="G277" i="3" s="1"/>
  <c r="F283" i="3"/>
  <c r="F277" i="3" s="1"/>
  <c r="E283" i="3"/>
  <c r="E277" i="3" s="1"/>
  <c r="E320" i="3" l="1"/>
  <c r="F320" i="3"/>
  <c r="G320" i="3"/>
  <c r="G319" i="3" s="1"/>
  <c r="F400" i="3"/>
  <c r="F396" i="3" s="1"/>
  <c r="G400" i="3"/>
  <c r="G396" i="3" s="1"/>
  <c r="E554" i="3"/>
  <c r="E304" i="3"/>
  <c r="E303" i="3" s="1"/>
  <c r="E285" i="3" s="1"/>
  <c r="E580" i="3"/>
  <c r="E605" i="3"/>
  <c r="E594" i="3" s="1"/>
  <c r="E503" i="3"/>
  <c r="E497" i="3" s="1"/>
  <c r="E663" i="3"/>
  <c r="E314" i="3"/>
  <c r="E308" i="3" s="1"/>
  <c r="F314" i="3"/>
  <c r="G314" i="3"/>
  <c r="G303" i="3"/>
  <c r="G285" i="3" s="1"/>
  <c r="F304" i="3"/>
  <c r="G271" i="3"/>
  <c r="G268" i="3" s="1"/>
  <c r="F271" i="3"/>
  <c r="F268" i="3" s="1"/>
  <c r="E271" i="3"/>
  <c r="E268" i="3" s="1"/>
  <c r="E264" i="3" s="1"/>
  <c r="G257" i="3"/>
  <c r="G256" i="3" s="1"/>
  <c r="G255" i="3" s="1"/>
  <c r="G250" i="3" s="1"/>
  <c r="F257" i="3"/>
  <c r="F256" i="3" s="1"/>
  <c r="F255" i="3" s="1"/>
  <c r="F250" i="3" s="1"/>
  <c r="E257" i="3"/>
  <c r="G228" i="3"/>
  <c r="G204" i="3" s="1"/>
  <c r="F228" i="3"/>
  <c r="E228" i="3"/>
  <c r="E204" i="3" l="1"/>
  <c r="E203" i="3" s="1"/>
  <c r="E202" i="3" s="1"/>
  <c r="E196" i="3" s="1"/>
  <c r="F204" i="3"/>
  <c r="F203" i="3" s="1"/>
  <c r="E548" i="3"/>
  <c r="G203" i="3"/>
  <c r="E256" i="3"/>
  <c r="E255" i="3" s="1"/>
  <c r="E250" i="3" s="1"/>
  <c r="E249" i="3" s="1"/>
  <c r="E400" i="3"/>
  <c r="E396" i="3" s="1"/>
  <c r="E319" i="3"/>
  <c r="F319" i="3"/>
  <c r="G264" i="3"/>
  <c r="F308" i="3"/>
  <c r="G308" i="3"/>
  <c r="G307" i="3" s="1"/>
  <c r="F303" i="3"/>
  <c r="F285" i="3" s="1"/>
  <c r="F264" i="3" l="1"/>
  <c r="E307" i="3"/>
  <c r="E276" i="3" s="1"/>
  <c r="E463" i="3"/>
  <c r="F307" i="3"/>
  <c r="G276" i="3"/>
  <c r="G194" i="3"/>
  <c r="F194" i="3"/>
  <c r="E194" i="3"/>
  <c r="G192" i="3"/>
  <c r="F192" i="3"/>
  <c r="E192" i="3"/>
  <c r="G190" i="3"/>
  <c r="F190" i="3"/>
  <c r="E190" i="3"/>
  <c r="G186" i="3"/>
  <c r="F186" i="3"/>
  <c r="E186" i="3"/>
  <c r="G172" i="3"/>
  <c r="G171" i="3" s="1"/>
  <c r="F172" i="3"/>
  <c r="F171" i="3" s="1"/>
  <c r="E172" i="3"/>
  <c r="E171" i="3" s="1"/>
  <c r="G161" i="3"/>
  <c r="F161" i="3"/>
  <c r="E161" i="3"/>
  <c r="G159" i="3"/>
  <c r="F159" i="3"/>
  <c r="E159" i="3"/>
  <c r="G150" i="3"/>
  <c r="F150" i="3"/>
  <c r="G145" i="3"/>
  <c r="F145" i="3"/>
  <c r="E145" i="3"/>
  <c r="G137" i="3"/>
  <c r="G136" i="3" s="1"/>
  <c r="F137" i="3"/>
  <c r="F136" i="3" s="1"/>
  <c r="E137" i="3"/>
  <c r="E136" i="3" s="1"/>
  <c r="G131" i="3"/>
  <c r="G128" i="3" s="1"/>
  <c r="F131" i="3"/>
  <c r="F128" i="3" s="1"/>
  <c r="E131" i="3"/>
  <c r="E128" i="3" s="1"/>
  <c r="G113" i="3"/>
  <c r="F113" i="3"/>
  <c r="E113" i="3"/>
  <c r="E158" i="3" l="1"/>
  <c r="E157" i="3" s="1"/>
  <c r="E156" i="3" s="1"/>
  <c r="E155" i="3" s="1"/>
  <c r="G158" i="3"/>
  <c r="G157" i="3" s="1"/>
  <c r="F158" i="3"/>
  <c r="E183" i="3"/>
  <c r="G183" i="3"/>
  <c r="F183" i="3"/>
  <c r="G170" i="3"/>
  <c r="E112" i="3"/>
  <c r="G135" i="3"/>
  <c r="F276" i="3"/>
  <c r="G149" i="3"/>
  <c r="F149" i="3" s="1"/>
  <c r="G275" i="3"/>
  <c r="G144" i="3"/>
  <c r="G202" i="3"/>
  <c r="G196" i="3" s="1"/>
  <c r="G249" i="3"/>
  <c r="F144" i="3"/>
  <c r="E149" i="3"/>
  <c r="E144" i="3"/>
  <c r="G127" i="3"/>
  <c r="G112" i="3"/>
  <c r="F112" i="3"/>
  <c r="G108" i="3"/>
  <c r="F108" i="3"/>
  <c r="E108" i="3"/>
  <c r="G100" i="3"/>
  <c r="E93" i="3"/>
  <c r="G79" i="3"/>
  <c r="F79" i="3"/>
  <c r="E79" i="3"/>
  <c r="G74" i="3"/>
  <c r="F74" i="3"/>
  <c r="E71" i="3" l="1"/>
  <c r="E111" i="3"/>
  <c r="E275" i="3"/>
  <c r="E100" i="3"/>
  <c r="E99" i="3" s="1"/>
  <c r="E135" i="3"/>
  <c r="E127" i="3"/>
  <c r="E170" i="3"/>
  <c r="F275" i="3"/>
  <c r="F249" i="3"/>
  <c r="F202" i="3"/>
  <c r="F196" i="3" s="1"/>
  <c r="F157" i="3"/>
  <c r="F170" i="3"/>
  <c r="F135" i="3"/>
  <c r="G182" i="3"/>
  <c r="F100" i="3"/>
  <c r="G99" i="3"/>
  <c r="F127" i="3"/>
  <c r="G143" i="3"/>
  <c r="F143" i="3" s="1"/>
  <c r="E143" i="3"/>
  <c r="G107" i="3"/>
  <c r="F107" i="3" s="1"/>
  <c r="G111" i="3"/>
  <c r="F111" i="3" s="1"/>
  <c r="G93" i="3"/>
  <c r="F93" i="3" s="1"/>
  <c r="F71" i="3" s="1"/>
  <c r="E107" i="3"/>
  <c r="G148" i="3"/>
  <c r="F148" i="3" s="1"/>
  <c r="E148" i="3"/>
  <c r="G156" i="3"/>
  <c r="G169" i="3"/>
  <c r="G165" i="3" s="1"/>
  <c r="G68" i="3"/>
  <c r="F68" i="3"/>
  <c r="E68" i="3"/>
  <c r="G71" i="3" l="1"/>
  <c r="F182" i="3"/>
  <c r="F181" i="3" s="1"/>
  <c r="G181" i="3"/>
  <c r="E169" i="3"/>
  <c r="E165" i="3" s="1"/>
  <c r="E182" i="3"/>
  <c r="E181" i="3" s="1"/>
  <c r="E126" i="3"/>
  <c r="E120" i="3" s="1"/>
  <c r="F156" i="3"/>
  <c r="F169" i="3"/>
  <c r="F165" i="3" s="1"/>
  <c r="F99" i="3"/>
  <c r="F57" i="3"/>
  <c r="G57" i="3"/>
  <c r="G56" i="3" s="1"/>
  <c r="G106" i="3"/>
  <c r="F106" i="3" s="1"/>
  <c r="E106" i="3"/>
  <c r="G110" i="3"/>
  <c r="F110" i="3" s="1"/>
  <c r="E110" i="3"/>
  <c r="G67" i="3"/>
  <c r="F67" i="3" s="1"/>
  <c r="G126" i="3"/>
  <c r="G120" i="3" s="1"/>
  <c r="G98" i="3"/>
  <c r="E98" i="3"/>
  <c r="G155" i="3"/>
  <c r="G36" i="3"/>
  <c r="F36" i="3"/>
  <c r="G32" i="3"/>
  <c r="F32" i="3"/>
  <c r="E32" i="3"/>
  <c r="G28" i="3"/>
  <c r="F28" i="3"/>
  <c r="G26" i="3"/>
  <c r="F26" i="3"/>
  <c r="E26" i="3"/>
  <c r="G23" i="3"/>
  <c r="F23" i="3"/>
  <c r="G21" i="3"/>
  <c r="F21" i="3"/>
  <c r="E21" i="3"/>
  <c r="G180" i="3" l="1"/>
  <c r="G154" i="3" s="1"/>
  <c r="F126" i="3"/>
  <c r="F120" i="3" s="1"/>
  <c r="G119" i="3"/>
  <c r="E180" i="3"/>
  <c r="E56" i="3"/>
  <c r="G35" i="3"/>
  <c r="F180" i="3"/>
  <c r="E67" i="3"/>
  <c r="E66" i="3" s="1"/>
  <c r="F155" i="3"/>
  <c r="F98" i="3"/>
  <c r="F56" i="3"/>
  <c r="G20" i="3"/>
  <c r="G55" i="3"/>
  <c r="G105" i="3"/>
  <c r="F105" i="3" s="1"/>
  <c r="E105" i="3"/>
  <c r="E70" i="3" s="1"/>
  <c r="G66" i="3"/>
  <c r="F66" i="3" s="1"/>
  <c r="F20" i="3"/>
  <c r="E20" i="3"/>
  <c r="G17" i="3"/>
  <c r="F17" i="3"/>
  <c r="E17" i="3"/>
  <c r="F119" i="3" l="1"/>
  <c r="F70" i="3"/>
  <c r="G70" i="3"/>
  <c r="E55" i="3"/>
  <c r="E35" i="3"/>
  <c r="F154" i="3"/>
  <c r="F55" i="3"/>
  <c r="G19" i="3"/>
  <c r="F19" i="3"/>
  <c r="G16" i="3"/>
  <c r="G34" i="3"/>
  <c r="E119" i="3"/>
  <c r="E16" i="3"/>
  <c r="E19" i="3"/>
  <c r="F35" i="3"/>
  <c r="F16" i="3" l="1"/>
  <c r="F34" i="3"/>
  <c r="E154" i="3"/>
  <c r="G15" i="3"/>
  <c r="G14" i="3" s="1"/>
  <c r="G823" i="3" s="1"/>
  <c r="E15" i="3"/>
  <c r="E34" i="3" l="1"/>
  <c r="E14" i="3" s="1"/>
  <c r="F15" i="3"/>
  <c r="F14" i="3" l="1"/>
  <c r="F823" i="3" s="1"/>
  <c r="E823" i="3" l="1"/>
</calcChain>
</file>

<file path=xl/sharedStrings.xml><?xml version="1.0" encoding="utf-8"?>
<sst xmlns="http://schemas.openxmlformats.org/spreadsheetml/2006/main" count="2426" uniqueCount="733">
  <si>
    <t>к решению Благовещенской</t>
  </si>
  <si>
    <t>городской Думы</t>
  </si>
  <si>
    <t>Наименование</t>
  </si>
  <si>
    <t>РПР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</si>
  <si>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</si>
  <si>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</si>
  <si>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</si>
  <si>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</si>
  <si>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</si>
  <si>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</si>
  <si>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</si>
  <si>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</si>
  <si>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</si>
  <si>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</si>
  <si>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</si>
  <si>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</si>
  <si>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</si>
  <si>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</si>
  <si>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</si>
  <si>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</si>
  <si>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</si>
  <si>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</si>
  <si>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</si>
  <si>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</si>
  <si>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</si>
  <si>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</si>
  <si>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</si>
  <si>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</si>
  <si>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</si>
  <si>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</si>
  <si>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</si>
  <si>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</si>
  <si>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</si>
  <si>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</si>
  <si>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</si>
  <si>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>00 0 00 80100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</si>
  <si>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</si>
  <si>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</si>
  <si>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</si>
  <si>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</si>
  <si>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</si>
  <si>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</si>
  <si>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</si>
  <si>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</si>
  <si>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</si>
  <si>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</si>
  <si>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00 1 00 87360</t>
  </si>
  <si>
    <t>100</t>
  </si>
  <si>
    <t>200</t>
  </si>
  <si>
    <t>00 1 00 88430</t>
  </si>
  <si>
    <t>00 1 00 87290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</si>
  <si>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</si>
  <si>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</si>
  <si>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</si>
  <si>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</si>
  <si>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Расходы на обеспечение деятельности (оказание услуг, выполнение работ) муниципальных организаций (учреждений)</t>
  </si>
  <si>
    <t>Предоставление субсидий бюджетным, автономным учреждениям и иным некоммерческим организациям</t>
  </si>
  <si>
    <t>Национальная оборона</t>
  </si>
  <si>
    <t>0200</t>
  </si>
  <si>
    <t>Мобилизационная подготовка экономики</t>
  </si>
  <si>
    <t>0204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</si>
  <si>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</si>
  <si>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</si>
  <si>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</si>
  <si>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</si>
  <si>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</si>
  <si>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0400</t>
  </si>
  <si>
    <t>Водное хозяйство</t>
  </si>
  <si>
    <t>0406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</si>
  <si>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</si>
  <si>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</si>
  <si>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</si>
  <si>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</si>
  <si>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</si>
  <si>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Транспорт</t>
  </si>
  <si>
    <t>0408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</si>
  <si>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</si>
  <si>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</si>
  <si>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</si>
  <si>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</si>
  <si>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</si>
  <si>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02 2 01 10590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</si>
  <si>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</si>
  <si>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</si>
  <si>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</si>
  <si>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</si>
  <si>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</si>
  <si>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</si>
  <si>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</si>
  <si>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</si>
  <si>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</si>
  <si>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</si>
  <si>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</si>
  <si>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03 0 00 00000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</si>
  <si>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</si>
  <si>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</si>
  <si>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</si>
  <si>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</si>
  <si>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Другие вопросы в области национальной экономики</t>
  </si>
  <si>
    <t>0412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</si>
  <si>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</si>
  <si>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</si>
  <si>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</si>
  <si>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</si>
  <si>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</si>
  <si>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</si>
  <si>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</si>
  <si>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</si>
  <si>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</si>
  <si>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</si>
  <si>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</si>
  <si>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>09 0 00 00000</t>
  </si>
  <si>
    <t>09 1 00 00000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</si>
  <si>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</si>
  <si>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</si>
  <si>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</si>
  <si>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</si>
  <si>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</si>
  <si>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</si>
  <si>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Основное мероприятие "Развитие инфраструктуры поддержки малого и среднего предпринимательства"</t>
  </si>
  <si>
    <t>09 2 02 00000</t>
  </si>
  <si>
    <t>Субсидии некоммерческим организациям, оказывающим поддержку субъектам малого и среднего предпринимательства</t>
  </si>
  <si>
    <t>09 2 02 10310</t>
  </si>
  <si>
    <t xml:space="preserve">Жилищно-коммунальное хозяйство </t>
  </si>
  <si>
    <t>0500</t>
  </si>
  <si>
    <t xml:space="preserve">Жилищное  хозяйство </t>
  </si>
  <si>
    <t>0501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</si>
  <si>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</si>
  <si>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</si>
  <si>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</si>
  <si>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</si>
  <si>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</si>
  <si>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</si>
  <si>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</si>
  <si>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</si>
  <si>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</si>
  <si>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</si>
  <si>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03 3 01 10220</t>
  </si>
  <si>
    <t xml:space="preserve">Коммунальное хозяйство </t>
  </si>
  <si>
    <t>0502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</si>
  <si>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</si>
  <si>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</si>
  <si>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Другие вопросы в области жилищно-коммунального хозяйства</t>
  </si>
  <si>
    <t>0505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</si>
  <si>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</si>
  <si>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</si>
  <si>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</si>
  <si>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</si>
  <si>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0700</t>
  </si>
  <si>
    <t>0707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</si>
  <si>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</si>
  <si>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</si>
  <si>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</si>
  <si>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07 0 01 10180</t>
  </si>
  <si>
    <t>Выплата премий активной и талантливой молодежи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</si>
  <si>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</si>
  <si>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</si>
  <si>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</si>
  <si>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</si>
  <si>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</si>
  <si>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</si>
  <si>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</si>
  <si>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</si>
  <si>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</si>
  <si>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</si>
  <si>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</si>
  <si>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</si>
  <si>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</si>
  <si>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</si>
  <si>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</si>
  <si>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</si>
  <si>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</si>
  <si>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>1100</t>
  </si>
  <si>
    <t xml:space="preserve">Физическая культура </t>
  </si>
  <si>
    <t>1101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</si>
  <si>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</si>
  <si>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</si>
  <si>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</si>
  <si>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</si>
  <si>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</si>
  <si>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1102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</si>
  <si>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</si>
  <si>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</si>
  <si>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</si>
  <si>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</si>
  <si>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</si>
  <si>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</si>
  <si>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</si>
  <si>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</si>
  <si>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</si>
  <si>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</si>
  <si>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</si>
  <si>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</si>
  <si>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</si>
  <si>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</si>
  <si>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</si>
  <si>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1200</t>
  </si>
  <si>
    <t>Телевидение и радиовещание</t>
  </si>
  <si>
    <t>1201</t>
  </si>
  <si>
    <t>1300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</si>
  <si>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</si>
  <si>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</si>
  <si>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</si>
  <si>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</si>
  <si>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</si>
  <si>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</si>
  <si>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</si>
  <si>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</si>
  <si>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</si>
  <si>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</si>
  <si>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>Сельское хозяйство и рыболовство</t>
  </si>
  <si>
    <t>0405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</si>
  <si>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</si>
  <si>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</si>
  <si>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</si>
  <si>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</si>
  <si>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</si>
  <si>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</si>
  <si>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</si>
  <si>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</si>
  <si>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</si>
  <si>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</si>
  <si>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</si>
  <si>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</si>
  <si>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</si>
  <si>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</si>
  <si>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Расходы на организацию проведения конкурсов по отбору управляющих организаций</t>
  </si>
  <si>
    <t>03 1 03 60140</t>
  </si>
  <si>
    <t xml:space="preserve">Благоустройство </t>
  </si>
  <si>
    <t>0503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</si>
  <si>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</si>
  <si>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</si>
  <si>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</si>
  <si>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</si>
  <si>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</si>
  <si>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</si>
  <si>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</si>
  <si>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</si>
  <si>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 xml:space="preserve">Национальная безопасность  и правоохранительная деятельность </t>
  </si>
  <si>
    <t>0300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</si>
  <si>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</si>
  <si>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0309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</si>
  <si>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</si>
  <si>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</si>
  <si>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</si>
  <si>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</si>
  <si>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</si>
  <si>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</si>
  <si>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</si>
  <si>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</si>
  <si>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</si>
  <si>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</si>
  <si>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</si>
  <si>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</si>
  <si>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</si>
  <si>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</si>
  <si>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</si>
  <si>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</si>
  <si>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</si>
  <si>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</si>
  <si>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</si>
  <si>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</si>
  <si>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</si>
  <si>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</si>
  <si>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Дошкольное  образование</t>
  </si>
  <si>
    <t>0701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</si>
  <si>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</si>
  <si>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</si>
  <si>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</si>
  <si>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</si>
  <si>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</si>
  <si>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</si>
  <si>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600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</si>
  <si>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</si>
  <si>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</si>
  <si>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</si>
  <si>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</si>
  <si>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</si>
  <si>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Общее образование </t>
  </si>
  <si>
    <t>0702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</si>
  <si>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</si>
  <si>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</si>
  <si>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</si>
  <si>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</si>
  <si>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</si>
  <si>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Основное мероприятие "Развитие инфраструктуры  дошкольного и общего образования"</t>
  </si>
  <si>
    <t>Развитие кадрового потенциала муниципальных организаций (учреждений)</t>
  </si>
  <si>
    <t>04 3 02 10020</t>
  </si>
  <si>
    <t>Дополнительное образование детей</t>
  </si>
  <si>
    <t>0703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</si>
  <si>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</si>
  <si>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</si>
  <si>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</si>
  <si>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</si>
  <si>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</si>
  <si>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</si>
  <si>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</si>
  <si>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</si>
  <si>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Другие вопросы в области образования</t>
  </si>
  <si>
    <t>0709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</si>
  <si>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</si>
  <si>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</si>
  <si>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04 2 01 87300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</si>
  <si>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</si>
  <si>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</si>
  <si>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</si>
  <si>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</si>
  <si>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Охрана семьи и детства</t>
  </si>
  <si>
    <t>1004</t>
  </si>
  <si>
    <t>04 1 01 87250</t>
  </si>
  <si>
    <t>04 2 01 70000</t>
  </si>
  <si>
    <t>04 2 01 11020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</si>
  <si>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</si>
  <si>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</si>
  <si>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</si>
  <si>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</si>
  <si>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</si>
  <si>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</si>
  <si>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</si>
  <si>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</si>
  <si>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</si>
  <si>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</si>
  <si>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</si>
  <si>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</si>
  <si>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</si>
  <si>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</si>
  <si>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</si>
  <si>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</si>
  <si>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</si>
  <si>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</si>
  <si>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</si>
  <si>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</si>
  <si>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</si>
  <si>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</si>
  <si>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</si>
  <si>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</si>
  <si>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</si>
  <si>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</si>
  <si>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</si>
  <si>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05 5 00 00000</t>
  </si>
  <si>
    <t>Основное мероприятие "Организация деятельности в сфере культуры"</t>
  </si>
  <si>
    <t>05 5 01 00000</t>
  </si>
  <si>
    <t>05 5 01 00070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</si>
  <si>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</si>
  <si>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</si>
  <si>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</si>
  <si>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</si>
  <si>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</si>
  <si>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</si>
  <si>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</si>
  <si>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</si>
  <si>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</si>
  <si>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</si>
  <si>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</si>
  <si>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</si>
  <si>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Приобретение квартир в муниципальную собственность по решениям суда</t>
  </si>
  <si>
    <t>00 0 00 70030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</si>
  <si>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</si>
  <si>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</si>
  <si>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</si>
  <si>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</si>
  <si>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</si>
  <si>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</si>
  <si>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</si>
  <si>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</si>
  <si>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</si>
  <si>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</si>
  <si>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</si>
  <si>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</si>
  <si>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</si>
  <si>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</si>
  <si>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</si>
  <si>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</si>
  <si>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01 3 01 00000</t>
  </si>
  <si>
    <t>400</t>
  </si>
  <si>
    <t>Итого расходов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</si>
  <si>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</si>
  <si>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</si>
  <si>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04 1 01 88500</t>
  </si>
  <si>
    <t>Организация и проведение мероприятий по работе с молодежью</t>
  </si>
  <si>
    <t xml:space="preserve">Молодежная политика </t>
  </si>
  <si>
    <t>Закупка товаров, работ и услуг для обеспечения  государственных(муниципальных) нужд</t>
  </si>
  <si>
    <t xml:space="preserve">Премия одаренным  детям, обучающимся в образовательных организациях   города Благовещенска </t>
  </si>
  <si>
    <t>08 4 01 10640</t>
  </si>
  <si>
    <t>Обеспечение  проведения выборов и референдумов</t>
  </si>
  <si>
    <t>Проведение  выборов   органов местного самоуправления</t>
  </si>
  <si>
    <t>0107</t>
  </si>
  <si>
    <t>00 0 00 00100</t>
  </si>
  <si>
    <t>02 1 01 S7480</t>
  </si>
  <si>
    <t>13 0 00 00000</t>
  </si>
  <si>
    <t>04 2 02 S7500</t>
  </si>
  <si>
    <t>Выполнение работ по актуализации схемы теплоснабжения города Благовещенска</t>
  </si>
  <si>
    <t>03 1 01 10651</t>
  </si>
  <si>
    <t>Расходы по охране объектов незавершенного строительства и объектов в период передачи в муниципальную собственность</t>
  </si>
  <si>
    <t>03 1 01 40660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</si>
  <si>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</si>
  <si>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Основное мероприятие «Выявление и поддержка одаренных детей»</t>
  </si>
  <si>
    <t>Развитие интеллектуального, творческого и физического потенциала всех категорий детей</t>
  </si>
  <si>
    <t>04 2 03 00000</t>
  </si>
  <si>
    <t>04 2 03 10050</t>
  </si>
  <si>
    <t>Основное мероприятие «Развитие, поддержка и совершенствование системы кадрового потенциала педагогического корпуса»</t>
  </si>
  <si>
    <t>Судебная система</t>
  </si>
  <si>
    <t>0105</t>
  </si>
  <si>
    <t>03 4 01 60110</t>
  </si>
  <si>
    <t>04 1 01 S7620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</si>
  <si>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</si>
  <si>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</si>
  <si>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>01 3 01 L4970</t>
  </si>
  <si>
    <t>02 1 01 40680</t>
  </si>
  <si>
    <t>04 1 02 00000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</si>
  <si>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</si>
  <si>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</si>
  <si>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Реализация мероприятий по обеспечению жильём молодых семей</t>
  </si>
  <si>
    <t>02 1 01 40080</t>
  </si>
  <si>
    <t>Строительство водопроводных сетей в районе "5-й стройки"</t>
  </si>
  <si>
    <t>03 1 01 40090</t>
  </si>
  <si>
    <t>03 1 01 40580</t>
  </si>
  <si>
    <t>03 1 01 40690</t>
  </si>
  <si>
    <t>03 1 01 40720</t>
  </si>
  <si>
    <t>Условно-утверждаемые расходы</t>
  </si>
  <si>
    <t>00 0 00 S7719</t>
  </si>
  <si>
    <t>02 1 01 S7711</t>
  </si>
  <si>
    <t>02 1 01 S7712</t>
  </si>
  <si>
    <t>02 1 01 S7713</t>
  </si>
  <si>
    <t>03 1 02 S7714</t>
  </si>
  <si>
    <t>03 4 01 S7716</t>
  </si>
  <si>
    <t>03 4 01 S7717</t>
  </si>
  <si>
    <t>03 4 01 S7718</t>
  </si>
  <si>
    <t>03 1 02 S7715</t>
  </si>
  <si>
    <t>Мероприятия государственной программы Амурской области "Развитие транспортной системы Амурской области", направленные на строительство и ремонт улично-дорожной сети города Благовещенска</t>
  </si>
  <si>
    <t>Муниципальная программа "Развитие и сохранение культуры в городе  Благовещенске на 2015-2021 годы"</t>
  </si>
  <si>
    <t>Распределение бюджетных ассигнований по разделам, подразделам, целевым статьям (государственным (муниципальным) программам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</si>
  <si>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Муниципальная программа "Обеспечение безопасности жизнедеятельности населения и территории города Благовещенска"</t>
  </si>
  <si>
    <t>Обеспечение безопасности, охраны жизни и здоровья населения в местах массового отдыха на водных объектах города Благовещенска</t>
  </si>
  <si>
    <t>08 2 01 10380</t>
  </si>
  <si>
    <t>08 4 01 S7110</t>
  </si>
  <si>
    <t>Муниципальная программа "Развитие транспортной системы города Благовещенска"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</si>
  <si>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</si>
  <si>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02 1 R1 53930</t>
  </si>
  <si>
    <t>Реконструкция автомобильной дороги по ул. Тепличная города Благовещенска (в т.ч. проектные работы)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</si>
  <si>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</si>
  <si>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02 1 01 S0180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</si>
  <si>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     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</si>
  <si>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округа)           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</si>
  <si>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 возмещение затрат, связанных с выполнением заказа по содержанию и обслуживанию средств регулирования дорожного движения)</t>
  </si>
  <si>
    <t>Обеспечение транспортной безопасности на объектах транспортной инфраструктуры (мост через р.Зея)</t>
  </si>
  <si>
    <t>08 1 01 10680</t>
  </si>
  <si>
    <t>Муниципальная программа "Обеспечение доступным и комфортным жильем населения города Благовещенска"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</si>
  <si>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</si>
  <si>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</si>
  <si>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Осуществление государственных полномочий по организации проведения мероприятий по регулированию численности безнадзорных животных</t>
  </si>
  <si>
    <t>Муниципальная программа "Развитие малого и среднего предпринимательства и туризма на территории города Благовещенска"</t>
  </si>
  <si>
    <t>Подпрограмма "Развитие туризма в городе Благовещенске</t>
  </si>
  <si>
    <t>Основное мероприятие "Совершенствование инфраструктуры досуга и массового отдыха для жителей и гостей города"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</si>
  <si>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</si>
  <si>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09 1 03 00000</t>
  </si>
  <si>
    <t>09 1 03 S7110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</si>
  <si>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</si>
  <si>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09 2 01 S0130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</si>
  <si>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</si>
  <si>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Разработка программ комплексного развития</t>
  </si>
  <si>
    <t>11 0 02 10510</t>
  </si>
  <si>
    <t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</si>
  <si>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</si>
  <si>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01 1 01 55050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</si>
  <si>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областного бюджета</t>
  </si>
  <si>
    <t>01 1 01 80510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</si>
  <si>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</si>
  <si>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"Обеспечение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области"</t>
  </si>
  <si>
    <t>03 1 01 87120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</si>
  <si>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услуги в отделениях бань)        </t>
  </si>
  <si>
    <t>Оплата услуг региональному оператору по обращению с твердыми коммунальными отходами</t>
  </si>
  <si>
    <t>Оборудование контейнерных площадок для сбора твердых коммунальных отходов</t>
  </si>
  <si>
    <t>03 1 03 10540</t>
  </si>
  <si>
    <t>03 1 03 S7330</t>
  </si>
  <si>
    <t>03 1 01 S7400</t>
  </si>
  <si>
    <t>Сливная станция с. Садовое, Амурская область (в т.ч. проектные работы)</t>
  </si>
  <si>
    <t>Подключение объектов котельной Ростелеком к сетям централизованного теплоснабжения</t>
  </si>
  <si>
    <t>03 1 01 40760</t>
  </si>
  <si>
    <t>03 1 01 40770</t>
  </si>
  <si>
    <t>03 1 01 40780</t>
  </si>
  <si>
    <t>Муниципальная программа "Формирование современной городской среды на территории города Благовещенска на 2018-2024 годы"</t>
  </si>
  <si>
    <t>Реализация мероприятий программы формирования современной городской среды</t>
  </si>
  <si>
    <t>13 0 02 00000</t>
  </si>
  <si>
    <t>13 0 F2 55550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</si>
  <si>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</si>
  <si>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</si>
  <si>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Благовещенска)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</si>
  <si>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</si>
  <si>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</si>
  <si>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Благовещенска""</t>
  </si>
  <si>
    <t>Муниципальная программа "Развитие образования города Благовещенска"</t>
  </si>
  <si>
    <t>04 1 02 40730</t>
  </si>
  <si>
    <t>04 1 02 87520</t>
  </si>
  <si>
    <t>Основное мероприятие "Реализация мероприятий по развитию и сохранению образования в городе Благовещенске</t>
  </si>
  <si>
    <t>Поддержка инициатив в сфере  образования города Благовещенска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</si>
  <si>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</si>
  <si>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04 1 01 80630</t>
  </si>
  <si>
    <t>Муниципальная программа "Развитие потенциала молодежи города Благовещенска"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</si>
  <si>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</si>
  <si>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Муниципальная программа "Развитие и сохранение культуры в городе  Благовещенске"</t>
  </si>
  <si>
    <t>Создание модельной муниципальной библиотеки в целях реализации национального проекта "Культура"</t>
  </si>
  <si>
    <t>05 3 А1 54540</t>
  </si>
  <si>
    <t>Муниципальная программа "Развитие и сохранение культуры в городе  Благовещенске "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</si>
  <si>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</si>
  <si>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00 0 00 80150</t>
  </si>
  <si>
    <t>Подпрограмма "Обеспечение реализации муниципальной программы "Обеспечение доступным и комфортным жильём населения города Благовещенск" и прочие расходы"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</si>
  <si>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</si>
  <si>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</si>
  <si>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Муниципальная программа "Развитие физической культуры и спорта в городе Благовещенске"</t>
  </si>
  <si>
    <t>Муниципальная программа "Развитие физической культуры и спорта в городе Благовещенске "</t>
  </si>
  <si>
    <t>00 1 00 51200</t>
  </si>
  <si>
    <t>08 1 01 10330</t>
  </si>
  <si>
    <t>08 1 01 10340</t>
  </si>
  <si>
    <t>04 1 04 00000</t>
  </si>
  <si>
    <t>04 1 04 80020</t>
  </si>
  <si>
    <t>05 5 01 10590</t>
  </si>
  <si>
    <t>04 2 01 87700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</si>
  <si>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</si>
  <si>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</si>
  <si>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</si>
  <si>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01 5 00 00000</t>
  </si>
  <si>
    <t>01 5 01 00000</t>
  </si>
  <si>
    <t>01 5 01 R0820</t>
  </si>
  <si>
    <t xml:space="preserve"> 06 0 Р5 52280</t>
  </si>
  <si>
    <t>Субвенции на 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</si>
  <si>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 xml:space="preserve">Субвенции на финансовое обеспечение государственных полномочий по организационному обеспечению деятельности административных комиссий </t>
  </si>
  <si>
    <t>Субвенции на 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</si>
  <si>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Организация транспортного обслуживания населения</t>
  </si>
  <si>
    <t>02 2 01 S0680</t>
  </si>
  <si>
    <t>Ремонт улично-дорожной сети города Благовещенска</t>
  </si>
  <si>
    <t>02 1 01 60090</t>
  </si>
  <si>
    <t>Строительство и реконструкция (модернизация) объектов питьевого водоснабжения</t>
  </si>
  <si>
    <t>03 1 G5 00000</t>
  </si>
  <si>
    <t>03 1 G5 52430</t>
  </si>
  <si>
    <t>03 1 F1 00000</t>
  </si>
  <si>
    <t>03 1 F1 50210</t>
  </si>
  <si>
    <t>Создание новых мест в общеобразовательных организациях</t>
  </si>
  <si>
    <t>04 1 E1 00000</t>
  </si>
  <si>
    <t>04 1 E1 55200</t>
  </si>
  <si>
    <t>Софинансирование расходов, связанных с развитием аппаратно-программного комплекса "Безопасный город"</t>
  </si>
  <si>
    <t>08 1 01 S1590</t>
  </si>
  <si>
    <t>Софинансирование мероприятий по модернизации региональных систем дошкольного  образования</t>
  </si>
  <si>
    <t>Софинансирование расходных обязательств на обеспечение бесплатным двухразовым  питанием детей с ограниченными возможностями здоровья, обучающихся в муниципальных общеобразовательных организациях</t>
  </si>
  <si>
    <t>Финансовое обеспечение государственного полномочия Амурской области по обеспечению  обучающихся по образовательным программам начального общего образования в муниципальных общеобразовательных организациях питанием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</si>
  <si>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</si>
  <si>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Субвенции на финансовое обеспечение государственных полномочий по организации и осуществлению деятельности по опеке и попечительству в отношении  несовершеннолетних лиц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</si>
  <si>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</si>
  <si>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</si>
  <si>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</si>
  <si>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05 4 01 L4670</t>
  </si>
  <si>
    <t>05 4 01 S7550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</si>
  <si>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</si>
  <si>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01 5 01 87640</t>
  </si>
  <si>
    <t>Разработка проектно-сметной документации для строительства внутрипоселковых газораспределительных сетей</t>
  </si>
  <si>
    <t>03 1 01 S8984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</si>
  <si>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образовательных организациях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</si>
  <si>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образовательной организации, до окончания обучения</t>
  </si>
  <si>
    <t>Реализация мероприятий по развитию и сохранению культуры в муниципальных образованиях Амурской  области</t>
  </si>
  <si>
    <t>Оснащение объектов спортивной инфраструктуры спортивно-технологическим оборудованием  на 2020-2021 годы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</si>
  <si>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</si>
  <si>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юридическим лицам, индивидуальным предпринимателям на возмещение недополученных доходов в связи с бесплатным предоставлением отдельным категориям граждан парикмахерских услуг (стрижка волос)</t>
  </si>
  <si>
    <t>03 1 01 40830</t>
  </si>
  <si>
    <t>03 1 01 40840</t>
  </si>
  <si>
    <t>Магистральные улицы Северного планировочного района г. Благовещенска, Амурская область (ул. Зелёная от ул. Новотроицкое шоссе до ул. 50 лет Октября) (в т.ч. проектные работы)</t>
  </si>
  <si>
    <t>02 1 01 40630</t>
  </si>
  <si>
    <t>03 1 01 10700</t>
  </si>
  <si>
    <t>03 1 01 10710</t>
  </si>
  <si>
    <t>Основное мероприятие "Развитие инфраструктуры  дошкольного, общего и дополнительного образования"</t>
  </si>
  <si>
    <t>02 1 R1 00000</t>
  </si>
  <si>
    <t>Иные расходы, не отнесенные к другим целевым статьям</t>
  </si>
  <si>
    <t>00 2 00 00000</t>
  </si>
  <si>
    <t>Выполнение работ по разработке схемы газоснабжения города Благовещенска</t>
  </si>
  <si>
    <t>Капитальный ремонт ул. Мухина от ул. Пролетарская до ул. Зейская</t>
  </si>
  <si>
    <t>Капитальный ремонт жилищного фонда г. Благовещенска</t>
  </si>
  <si>
    <t xml:space="preserve">Стимулирование программ развития жилищного строительства субъектов Российской Федерации (Строительство, реконструкция и расширение систем водоснабжения и канализации в г. Благовещенске (водовод от насосной станции второго подъема водозабора "Северный "до распределительной сети города) </t>
  </si>
  <si>
    <t>Тепло- и водоснабжение жилых домов в районе "Астрахановка" г. Благовещенск</t>
  </si>
  <si>
    <t>Строительство сетей водоснабжения в кварталах 197, 203, 204 г. Благовещенск, Амурская область (в т.ч. проектные работы)</t>
  </si>
  <si>
    <t>Ликвидационный тампонаж скважины в с. Белогорье</t>
  </si>
  <si>
    <t>Строительство станции обезжелезивания с. Белогорье (в т.ч. проектные работы)</t>
  </si>
  <si>
    <t>Дошкольное образовательное учреждение на 350 мест в Северном планировочном районе г. Благовещенск, Амурская область (в т.ч.проектные работы)</t>
  </si>
  <si>
    <t>Подпрограмма "Библиотечное обслуживание"</t>
  </si>
  <si>
    <t>Разработка документации по развитию системы сбора и отведения поверхностных сточных вод на территории города Благовещенска</t>
  </si>
  <si>
    <t>Ремонт жилых помещений ветеранов Великой Отечественной войны (субсидия юридическим лицам и индивидуальным предпринимателям на возмещение затрат, связанных с ремонтом жилых помещений ветеранов Великой Отечественной Войны, расположенных на территории муниципального образования города Благовещенска, в 2020 году)</t>
  </si>
  <si>
    <t>00 2 00 70011</t>
  </si>
  <si>
    <t>00 0 0W 80690</t>
  </si>
  <si>
    <t>Расходы на исполнение судебных решений</t>
  </si>
  <si>
    <t>Штрафы за административное нарушение</t>
  </si>
  <si>
    <t>00 0 00 70021</t>
  </si>
  <si>
    <t>00 0 00 70023</t>
  </si>
  <si>
    <t>800</t>
  </si>
  <si>
    <t xml:space="preserve">Строительство мусороперерабатывающего комплекса "БлагЭко" в г. Благовещенске. (II очередь), Амурская область </t>
  </si>
  <si>
    <t>03 1 01 40110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</si>
  <si>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области", направленные на строительство, модернизацию, капитальный ремонт, ремонт и замену оборудования коммунальной инфраструктуры</t>
  </si>
  <si>
    <t>03 1 01 40850</t>
  </si>
  <si>
    <t>Основное мероприятие "Развитие административного центра Амурской области"</t>
  </si>
  <si>
    <t>Поддержка административного центра Амурской области</t>
  </si>
  <si>
    <t>03 4 02 00000</t>
  </si>
  <si>
    <t>03 4 02 S0560</t>
  </si>
  <si>
    <t>13 0 F2 00000</t>
  </si>
  <si>
    <t>Реализация мероприятий по цифровизации деятельности органов местного самоуправления, цифровизации городского хозяйства, построения и развития автоматизированных систем обеспечения комплексной безопасности жизнедеятельности населения города Благовещенска</t>
  </si>
  <si>
    <t>13 0 02 10720</t>
  </si>
  <si>
    <t>00 0 00 70070</t>
  </si>
  <si>
    <t>Проведение мероприятий по противопожарной и антитеррористической защищенности муниципальных образовательных организаций</t>
  </si>
  <si>
    <t>04 1 01 S8490</t>
  </si>
  <si>
    <t>04 1 02 87610</t>
  </si>
  <si>
    <t>Финансирование непредвиденных расходов и обязательств за счет резервного фонда Правительства Амурской области</t>
  </si>
  <si>
    <t>00 0 00 10620</t>
  </si>
  <si>
    <t xml:space="preserve">Обеспечение мероприятий по переселению граждан из аварийного жилищного фонда </t>
  </si>
  <si>
    <t>01 1 F3 00000</t>
  </si>
  <si>
    <t>01 1 F3 67483</t>
  </si>
  <si>
    <t>01 1 F3 67484</t>
  </si>
  <si>
    <t>03 1 01 10640</t>
  </si>
  <si>
    <t xml:space="preserve"> Оказание содействия в подготовке проведения общероссийского голосования, а также информирования граждан Российской Федерации о такой подготовке</t>
  </si>
  <si>
    <t>Софинансирование расходов  по модернизации муниципальных детских школ искусств</t>
  </si>
  <si>
    <t>05 2 01 L3060</t>
  </si>
  <si>
    <t>Выполнение предпроектной проработки по проекту "Дом траурных обрядов в Северном планировочном районе г.Благовещенск, Амурская область"</t>
  </si>
  <si>
    <t>тыс.рублей</t>
  </si>
  <si>
    <t>02 1 01 10730</t>
  </si>
  <si>
    <t>Разработка, актуализация проектов и схем организации дорожного движения на участках улично-дорожной сети города Благовещенска</t>
  </si>
  <si>
    <t>Развитие, обновление и укрепление материально-технической базы АПК «Безопасный город»  и комплексной системы экстренного оповещения населения»</t>
  </si>
  <si>
    <t>Обеспечение  функционирования АПК "Безопасный город" и комплексной системы экстренного оповещения населения, информационное обеспечение и пропаганда нарушений общественного порядка, терроризма и экстремизма</t>
  </si>
  <si>
    <t>Модернизация систем дополнительного образования</t>
  </si>
  <si>
    <t xml:space="preserve">Выравнивание обеспеченности муниципальных образований по реализации ими отдельных расходных обязательств (расходы  на оплату исполнительных документов) </t>
  </si>
  <si>
    <t>00 0 00 S7710</t>
  </si>
  <si>
    <t>Расходы по охране, содержанию и ремонту объектов незавершенного строительства и объектов в период передачи в муниципальную собственность</t>
  </si>
  <si>
    <t>Ремонт сетей коммунальной инфраструктуры города Благовещенска в целях реализации национального проекта "Безопасные и качественные автомобильные дороги"</t>
  </si>
  <si>
    <t>Строительство инженерной инфраструктуры к физкультурно-оздоровительному комплексу в квартале 408 г.Благовещенск, Амурская область (проектные работы)</t>
  </si>
  <si>
    <t>Строительство инженерной инфраструктуры к физкультурно-оздоровительному комплексу в квартале 266 г.Благовещенск, Амурская область (проектные работы)</t>
  </si>
  <si>
    <t>Основное мероприятие "Реализация проектов модернизации системы наружного освещения города Благовещенска с использованием механизмов муниципально-частного партнерства"</t>
  </si>
  <si>
    <t>Организация оказания консультационных услуг по сопровождению рассмотрения и оценки предложения о заключении концессионного соглашения</t>
  </si>
  <si>
    <t>03 4 03 00000</t>
  </si>
  <si>
    <t>03 4 03 10740</t>
  </si>
  <si>
    <t>Основное мероприятие "Реализация ведомственного проекта Цифровизации городского хозяйства "Умный город"</t>
  </si>
  <si>
    <t>Субсидии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</t>
  </si>
  <si>
    <t>Субсидии казенным предприятиям на возмещение затрат, связанных с выполнением заказа по содержанию и обслуживанию средств регулирования дорожного движения</t>
  </si>
  <si>
    <t>02 1 01 60100</t>
  </si>
  <si>
    <t>02 1 01 60300</t>
  </si>
  <si>
    <t>Субсидии юридическим лицам, предоставляющим населению услуги в отделениях бань</t>
  </si>
  <si>
    <t>03 1 02 60150</t>
  </si>
  <si>
    <t>Субсидии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</t>
  </si>
  <si>
    <t>Субсидии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</t>
  </si>
  <si>
    <t>Субсидии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</t>
  </si>
  <si>
    <t>03 4 01 60290</t>
  </si>
  <si>
    <t>03 4 01 60320</t>
  </si>
  <si>
    <t>03 4 01 60330</t>
  </si>
  <si>
    <t>Изъятие земельных участков, расположенных в квартале 252 города Благовещенска для строительства дороги по ул.Конная</t>
  </si>
  <si>
    <t>02 1 01 10750</t>
  </si>
  <si>
    <t>Подпрограмма "Улучшение жилищных условий отдельных категорий граждан, проживающих на территории города Благовещенска"</t>
  </si>
  <si>
    <t>Основное мероприятие "Государственная поддержка в обеспечении жильем отдельных категорий граждан"</t>
  </si>
  <si>
    <t>Финансовое обеспечение предоставления гражданам, стоящим на учете, мер социальной поддержки в виде единовременной денежной выплаты для улучшения жилищных условий, приобретения земельного участка для индивидуального жилищного строительства</t>
  </si>
  <si>
    <t>01 6 00 00000</t>
  </si>
  <si>
    <t>01 6 01 00000</t>
  </si>
  <si>
    <t>01  6 01 S0700</t>
  </si>
  <si>
    <t xml:space="preserve">Реализация мероприятий планов социального развития центров экономического роста субъектов Российской Федерации , входящих в состав Дальневосточного федерального округа  </t>
  </si>
  <si>
    <t>08 4 01 55050</t>
  </si>
  <si>
    <t>08 4 01 80510</t>
  </si>
  <si>
    <t>Финансовое обеспечение дорожной деятельности за счет средств резервного фонда Правительства Российской Федерации</t>
  </si>
  <si>
    <t>02 1 R1 58560</t>
  </si>
  <si>
    <t>Финансовое обеспечение дорожной деятельности на достижение целевых показателей муниципальных программ в сфере дорожного хозяйства, предусматривающих приведение в нормативное состояние, развитие и увеличение пропускной способности сети автомобильных дорог общего пользования местного значения</t>
  </si>
  <si>
    <t>02 1 01 53900</t>
  </si>
  <si>
    <t>Осуществление капитального ремонта поврежденных жилых помещений в результате паводка, произошедшего в июле-августе 2019 года на территории Дальневосточного федерального округа, находящихся в муниципальной собственности</t>
  </si>
  <si>
    <t>03 3 01 58200</t>
  </si>
  <si>
    <t>Финансовое обеспечение государственных полномочий по проведению текущего или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</si>
  <si>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>01 5 01 80710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</si>
  <si>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</si>
  <si>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</si>
  <si>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04 1 01 53030</t>
  </si>
  <si>
    <t>04 1 01 80740</t>
  </si>
  <si>
    <t>Модернизация систем общего образования</t>
  </si>
  <si>
    <t>04 1 02 10920</t>
  </si>
  <si>
    <t>Реконструкция очистных сооружений Северного жилого района, г.Благовещенск, Амурская область (в т.ч. проектные работы)</t>
  </si>
  <si>
    <t>03 1 01 40330</t>
  </si>
  <si>
    <t>Освещение значимых общественных и социальных объектов города Благовещенска за счет пожертвований</t>
  </si>
  <si>
    <t>06 0 01 10630</t>
  </si>
  <si>
    <t>Обеспечение функционирования системы персонифицированного финансирования дополнительного образования детей</t>
  </si>
  <si>
    <t>05 2 01 10591</t>
  </si>
  <si>
    <t>05 2 01 10630</t>
  </si>
  <si>
    <t>05 3 01 10630</t>
  </si>
  <si>
    <t>04 1 02 10630</t>
  </si>
  <si>
    <t>04 1 01 10591</t>
  </si>
  <si>
    <t>04 1 01 L3040</t>
  </si>
  <si>
    <t>04 1 01 88530</t>
  </si>
  <si>
    <t>02 2 01 10620</t>
  </si>
  <si>
    <t>Приобретение бланков с защитой от подделки (карты маршрута регулярных перевозок)</t>
  </si>
  <si>
    <t>Освещение значимых общественных и социальных объектов  города Благовещенка за счет пожертвований</t>
  </si>
  <si>
    <t>03 4 01 10630</t>
  </si>
  <si>
    <t>01 1 F3 6748S</t>
  </si>
  <si>
    <t>05 4 01 10630</t>
  </si>
  <si>
    <t>Закупка товаров, работ и услуг для обеспечения государственных (муниципальных) нужд</t>
  </si>
  <si>
    <t>Субвенции на 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указанным в статьях 29 и 30 Гражданского кодекса Российской Федерации</t>
  </si>
  <si>
    <t>от 05.12.2019 № 5/48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</si>
  <si>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№ 6</t>
    </r>
  </si>
  <si>
    <t>"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</si>
  <si>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1 пусковой комплекс, 2 пусковой комплекс, 3 пусковой комплекс (участок № 10), 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</t>
  </si>
  <si>
    <t xml:space="preserve"> Расходы на проведение общегородских конкурсов</t>
  </si>
  <si>
    <t>00 0 00 80160</t>
  </si>
  <si>
    <t>Создание муниципальных приютов для животных</t>
  </si>
  <si>
    <t>08 4 01 88420</t>
  </si>
  <si>
    <t>Финансовое обеспечение расходов, связанных с созданием и содержанием дорожного патруля</t>
  </si>
  <si>
    <t>02 1 01 S8540</t>
  </si>
  <si>
    <t>Ремонт тепловой сети по пер.Релочный от ТК-515 до ТК-337 (от ул.Комсомольская до ул. Мухина)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</si>
  <si>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 организациях</t>
  </si>
  <si>
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 в части финансового обеспечения материальных средств для осуществления государственного полномочия)</t>
  </si>
  <si>
    <t>Создание условий для осуществления присмотра и ухода за детьми в возрасте от 1,5 до 3 лет (субсидия негосударственным организациям, осуществляющим образовательную деятельность, и индивидуальным предпринимателям, осуществляющим образовательную деятельность по образовательным программам дошкольного образования)</t>
  </si>
  <si>
    <t>Капитальные вложения в объекты государственной (муниципальной) собственности</t>
  </si>
  <si>
    <t>Обслуживание государственного (муниципального) внутреннего долга</t>
  </si>
  <si>
    <t xml:space="preserve">Выравнивание обеспеченности муниципальных образований по реализации ими отдельных расходных обязательств (процентные платежи по муниципальному долгу) </t>
  </si>
  <si>
    <t>04 1 01 S7740</t>
  </si>
  <si>
    <t>Создание условий для эффективного патриотического воспитания обучающихся, обеспечивающих развитие у каждого подростка, верности Отечеству, готовности приносить пользу обществу и государству путем вовлечения детей во всероссийское военно- патриотическое общественное движение "Юнармия"</t>
  </si>
  <si>
    <t>04 1 01 10592</t>
  </si>
  <si>
    <t>Основное мероприятие "Региональный проект "Дорожная сеть"</t>
  </si>
  <si>
    <t>Субсидия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</si>
  <si>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00 0 00 20011</t>
  </si>
  <si>
    <t>Основное мероприятие "Региональный проект "Чистая вода"</t>
  </si>
  <si>
    <t>Основное мероприятие "Региональный проект "Жилье"</t>
  </si>
  <si>
    <t>Основное мероприятие "Региональный проект "Жильё и городская среда"</t>
  </si>
  <si>
    <t>Основное мероприятие "Региональный проект "Современная школа"</t>
  </si>
  <si>
    <t>Основное мероприятие "Региональный проект "Спорт- норма жизни"</t>
  </si>
  <si>
    <t xml:space="preserve">Субсидии на оснащение объектов спортивной инфраструктуры спортивно-технологическим оборудованием </t>
  </si>
  <si>
    <t xml:space="preserve"> 06 0 Р5 00000</t>
  </si>
  <si>
    <t>Основное мероприятие "Развитие инфраструктуры учреждений дополнительного образования детей в сфере культуры"</t>
  </si>
  <si>
    <t>Выполнение проектных и изыскательских работ по объектам капитального строительства</t>
  </si>
  <si>
    <t>05 2 02 00000</t>
  </si>
  <si>
    <t>05 2 02 40860</t>
  </si>
  <si>
    <t>Основное мероприятие Региональный проект "Культурная среда"</t>
  </si>
  <si>
    <t>05 3 А1 00000</t>
  </si>
  <si>
    <t>Основное мероприятие "Региональный проект "Обеспечение устойчивого сокращения непригодного для проживания жилищного фонда"</t>
  </si>
  <si>
    <t>Приложение № 3</t>
  </si>
  <si>
    <t>Разработка документации по тактическому благоустройству улиц, общественных пространств, парков, скверов города Благовещенска</t>
  </si>
  <si>
    <t>13 0 03 10760</t>
  </si>
  <si>
    <t xml:space="preserve">Основное мероприятие "Разработка документации по тактическому благоустройству улиц, общественных пространств, парков, скверов" </t>
  </si>
  <si>
    <t>от 24.12.2020 № 20/131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</si>
</sst>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9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2"/>
      <charset val="204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67">
    <xf numFmtId="0" fontId="0" fillId="0" borderId="0" xfId="0"/>
    <xf numFmtId="1" fontId="5" fillId="0" borderId="0" xfId="1" applyNumberFormat="1" applyFont="1" applyFill="1" applyBorder="1" applyAlignment="1">
      <alignment horizontal="left" wrapText="1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/>
    <xf numFmtId="1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4" fontId="8" fillId="0" borderId="0" xfId="2" applyNumberFormat="1" applyFont="1" applyFill="1"/>
    <xf numFmtId="0" fontId="9" fillId="0" borderId="0" xfId="2" applyFont="1" applyFill="1"/>
    <xf numFmtId="49" fontId="8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2" applyFont="1" applyFill="1"/>
    <xf numFmtId="49" fontId="5" fillId="0" borderId="0" xfId="2" applyNumberFormat="1" applyFont="1" applyFill="1" applyAlignment="1">
      <alignment horizontal="center"/>
    </xf>
    <xf numFmtId="164" fontId="5" fillId="0" borderId="0" xfId="0" applyNumberFormat="1" applyFont="1" applyFill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 wrapText="1"/>
    </xf>
    <xf numFmtId="49" fontId="8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5" fillId="0" borderId="0" xfId="2" applyFont="1" applyFill="1" applyAlignment="1">
      <alignment wrapText="1"/>
    </xf>
    <xf numFmtId="164" fontId="5" fillId="0" borderId="0" xfId="2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1" fontId="5" fillId="0" borderId="0" xfId="1" applyNumberFormat="1" applyFont="1" applyFill="1" applyBorder="1" applyAlignment="1">
      <alignment horizontal="left" vertical="center" wrapText="1"/>
    </xf>
    <xf numFmtId="164" fontId="10" fillId="0" borderId="0" xfId="2" applyNumberFormat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164" fontId="8" fillId="0" borderId="0" xfId="2" applyNumberFormat="1" applyFont="1" applyFill="1" applyAlignment="1">
      <alignment horizontal="right"/>
    </xf>
    <xf numFmtId="1" fontId="12" fillId="0" borderId="0" xfId="1" applyNumberFormat="1" applyFont="1" applyFill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1" fontId="8" fillId="0" borderId="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top" wrapText="1"/>
    </xf>
    <xf numFmtId="1" fontId="5" fillId="0" borderId="0" xfId="2" applyNumberFormat="1" applyFont="1" applyFill="1" applyBorder="1" applyAlignment="1">
      <alignment horizontal="left" vertical="center" wrapText="1"/>
    </xf>
    <xf numFmtId="49" fontId="5" fillId="0" borderId="0" xfId="2" applyNumberFormat="1" applyFont="1" applyFill="1" applyBorder="1" applyAlignment="1">
      <alignment horizontal="left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1" fontId="8" fillId="0" borderId="0" xfId="1" applyNumberFormat="1" applyFont="1" applyFill="1" applyBorder="1" applyAlignment="1">
      <alignment horizontal="center" wrapText="1"/>
    </xf>
    <xf numFmtId="164" fontId="13" fillId="0" borderId="0" xfId="2" applyNumberFormat="1" applyFont="1" applyFill="1" applyAlignment="1">
      <alignment horizontal="right"/>
    </xf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center"/>
    </xf>
    <xf numFmtId="164" fontId="10" fillId="0" borderId="0" xfId="2" applyNumberFormat="1" applyFont="1" applyFill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" fontId="14" fillId="0" borderId="0" xfId="4" applyNumberFormat="1" applyFont="1" applyFill="1" applyBorder="1" applyAlignment="1" applyProtection="1">
      <alignment horizontal="left" vertical="center" wrapText="1"/>
      <protection locked="0"/>
    </xf>
    <xf numFmtId="164" fontId="8" fillId="0" borderId="0" xfId="0" applyNumberFormat="1" applyFont="1" applyFill="1"/>
    <xf numFmtId="164" fontId="9" fillId="0" borderId="0" xfId="2" applyNumberFormat="1" applyFont="1" applyFill="1"/>
    <xf numFmtId="1" fontId="8" fillId="0" borderId="0" xfId="1" applyNumberFormat="1" applyFont="1" applyFill="1" applyBorder="1" applyAlignment="1">
      <alignment wrapText="1"/>
    </xf>
    <xf numFmtId="1" fontId="8" fillId="0" borderId="0" xfId="1" applyNumberFormat="1" applyFont="1" applyFill="1" applyBorder="1" applyAlignment="1">
      <alignment horizontal="center"/>
    </xf>
    <xf numFmtId="164" fontId="5" fillId="0" borderId="0" xfId="2" applyNumberFormat="1" applyFont="1" applyFill="1"/>
    <xf numFmtId="164" fontId="5" fillId="0" borderId="0" xfId="0" applyNumberFormat="1" applyFont="1" applyFill="1" applyAlignment="1"/>
    <xf numFmtId="0" fontId="5" fillId="0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NumberFormat="1" applyFont="1" applyFill="1" applyAlignment="1">
      <alignment wrapText="1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wrapText="1"/>
    </xf>
    <xf numFmtId="1" fontId="8" fillId="0" borderId="0" xfId="7" applyNumberFormat="1" applyFont="1" applyFill="1" applyBorder="1" applyAlignment="1">
      <alignment horizontal="left" wrapText="1"/>
    </xf>
    <xf numFmtId="49" fontId="8" fillId="0" borderId="0" xfId="7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wrapText="1"/>
    </xf>
    <xf numFmtId="49" fontId="5" fillId="0" borderId="0" xfId="7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49" fontId="5" fillId="0" borderId="0" xfId="0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49" fontId="5" fillId="0" borderId="0" xfId="3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left" wrapText="1"/>
    </xf>
    <xf numFmtId="0" fontId="8" fillId="0" borderId="0" xfId="1" applyFont="1" applyFill="1" applyAlignment="1">
      <alignment wrapText="1"/>
    </xf>
    <xf numFmtId="0" fontId="5" fillId="0" borderId="0" xfId="5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5" applyNumberFormat="1" applyFont="1" applyFill="1" applyAlignment="1">
      <alignment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2" applyFont="1" applyFill="1" applyBorder="1" applyAlignment="1">
      <alignment horizontal="left" wrapText="1"/>
    </xf>
    <xf numFmtId="1" fontId="5" fillId="0" borderId="0" xfId="2" applyNumberFormat="1" applyFont="1" applyFill="1" applyBorder="1" applyAlignment="1">
      <alignment horizontal="left" wrapText="1"/>
    </xf>
    <xf numFmtId="0" fontId="5" fillId="0" borderId="0" xfId="5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5" fillId="0" borderId="0" xfId="5" applyFont="1" applyFill="1" applyBorder="1" applyAlignment="1">
      <alignment horizontal="left" wrapText="1"/>
    </xf>
    <xf numFmtId="0" fontId="5" fillId="0" borderId="0" xfId="2" applyNumberFormat="1" applyFont="1" applyFill="1" applyAlignment="1">
      <alignment wrapText="1"/>
    </xf>
    <xf numFmtId="164" fontId="8" fillId="0" borderId="0" xfId="2" applyNumberFormat="1" applyFont="1" applyFill="1" applyAlignment="1"/>
    <xf numFmtId="164" fontId="5" fillId="0" borderId="0" xfId="2" applyNumberFormat="1" applyFont="1" applyFill="1" applyAlignment="1"/>
    <xf numFmtId="4" fontId="5" fillId="0" borderId="0" xfId="4" applyNumberFormat="1" applyFont="1" applyFill="1" applyBorder="1" applyAlignment="1">
      <alignment wrapText="1"/>
    </xf>
    <xf numFmtId="0" fontId="5" fillId="0" borderId="0" xfId="4" applyFont="1" applyFill="1" applyBorder="1" applyAlignment="1">
      <alignment horizontal="center"/>
    </xf>
    <xf numFmtId="49" fontId="5" fillId="0" borderId="0" xfId="4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/>
    <xf numFmtId="0" fontId="5" fillId="0" borderId="0" xfId="4" applyFont="1" applyFill="1" applyBorder="1" applyAlignment="1">
      <alignment horizontal="left" wrapText="1"/>
    </xf>
    <xf numFmtId="1" fontId="5" fillId="0" borderId="0" xfId="4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wrapText="1"/>
    </xf>
    <xf numFmtId="4" fontId="5" fillId="0" borderId="0" xfId="5" applyNumberFormat="1" applyFont="1" applyFill="1" applyBorder="1" applyAlignment="1">
      <alignment wrapText="1"/>
    </xf>
    <xf numFmtId="164" fontId="5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justify" vertical="top" wrapText="1"/>
    </xf>
    <xf numFmtId="49" fontId="5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164" fontId="5" fillId="0" borderId="0" xfId="8" applyNumberFormat="1" applyFont="1" applyFill="1" applyAlignment="1"/>
    <xf numFmtId="0" fontId="5" fillId="0" borderId="0" xfId="0" applyFont="1" applyFill="1" applyAlignment="1">
      <alignment horizontal="justify" vertical="center" wrapText="1"/>
    </xf>
    <xf numFmtId="49" fontId="5" fillId="0" borderId="0" xfId="5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vertical="top" wrapText="1"/>
    </xf>
    <xf numFmtId="0" fontId="5" fillId="0" borderId="0" xfId="5" applyFont="1" applyFill="1" applyAlignment="1">
      <alignment vertical="top" wrapText="1"/>
    </xf>
    <xf numFmtId="0" fontId="5" fillId="0" borderId="0" xfId="8" applyFont="1" applyFill="1" applyAlignment="1">
      <alignment horizontal="left" wrapText="1"/>
    </xf>
    <xf numFmtId="164" fontId="5" fillId="0" borderId="0" xfId="8" applyNumberFormat="1" applyFont="1" applyFill="1" applyBorder="1" applyAlignment="1"/>
    <xf numFmtId="0" fontId="5" fillId="0" borderId="0" xfId="0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2" fontId="5" fillId="0" borderId="0" xfId="5" applyNumberFormat="1" applyFont="1" applyFill="1" applyBorder="1" applyAlignment="1">
      <alignment wrapText="1"/>
    </xf>
    <xf numFmtId="0" fontId="5" fillId="0" borderId="0" xfId="0" applyFont="1" applyFill="1" applyAlignment="1">
      <alignment horizontal="justify"/>
    </xf>
    <xf numFmtId="165" fontId="15" fillId="0" borderId="0" xfId="0" applyNumberFormat="1" applyFont="1" applyFill="1"/>
    <xf numFmtId="165" fontId="5" fillId="0" borderId="0" xfId="8" applyNumberFormat="1" applyFont="1" applyFill="1" applyBorder="1" applyAlignment="1"/>
    <xf numFmtId="0" fontId="5" fillId="0" borderId="0" xfId="2" applyFont="1" applyFill="1" applyBorder="1" applyAlignment="1"/>
    <xf numFmtId="164" fontId="8" fillId="0" borderId="0" xfId="8" applyNumberFormat="1" applyFont="1" applyFill="1" applyAlignment="1"/>
    <xf numFmtId="0" fontId="14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49" fontId="8" fillId="0" borderId="0" xfId="5" applyNumberFormat="1" applyFont="1" applyFill="1" applyAlignment="1">
      <alignment horizontal="center"/>
    </xf>
    <xf numFmtId="0" fontId="5" fillId="0" borderId="0" xfId="2" applyNumberFormat="1" applyFont="1" applyFill="1" applyAlignment="1">
      <alignment vertical="top" wrapText="1"/>
    </xf>
    <xf numFmtId="0" fontId="5" fillId="0" borderId="0" xfId="8" applyFont="1" applyFill="1" applyAlignment="1">
      <alignment horizontal="justify" wrapText="1"/>
    </xf>
    <xf numFmtId="1" fontId="15" fillId="0" borderId="0" xfId="1" applyNumberFormat="1" applyFont="1" applyFill="1" applyBorder="1" applyAlignment="1">
      <alignment wrapText="1"/>
    </xf>
    <xf numFmtId="0" fontId="10" fillId="0" borderId="0" xfId="2" applyFont="1" applyFill="1" applyAlignment="1">
      <alignment horizontal="right"/>
    </xf>
    <xf numFmtId="49" fontId="6" fillId="0" borderId="0" xfId="1" applyNumberFormat="1" applyFont="1" applyFill="1" applyBorder="1" applyAlignment="1">
      <alignment horizontal="center"/>
    </xf>
    <xf numFmtId="0" fontId="14" fillId="0" borderId="0" xfId="0" applyFont="1" applyFill="1" applyAlignment="1">
      <alignment wrapText="1"/>
    </xf>
    <xf numFmtId="0" fontId="5" fillId="0" borderId="0" xfId="8" applyFont="1" applyFill="1" applyAlignment="1">
      <alignment wrapText="1"/>
    </xf>
    <xf numFmtId="49" fontId="6" fillId="0" borderId="0" xfId="5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/>
    <xf numFmtId="0" fontId="15" fillId="0" borderId="0" xfId="0" applyFont="1" applyFill="1" applyAlignment="1">
      <alignment wrapText="1"/>
    </xf>
    <xf numFmtId="49" fontId="15" fillId="0" borderId="0" xfId="1" applyNumberFormat="1" applyFont="1" applyFill="1" applyBorder="1" applyAlignment="1">
      <alignment horizontal="center"/>
    </xf>
    <xf numFmtId="164" fontId="15" fillId="0" borderId="0" xfId="8" applyNumberFormat="1" applyFont="1" applyFill="1" applyAlignment="1"/>
    <xf numFmtId="164" fontId="15" fillId="0" borderId="0" xfId="0" applyNumberFormat="1" applyFont="1" applyFill="1"/>
    <xf numFmtId="49" fontId="15" fillId="0" borderId="0" xfId="1" applyNumberFormat="1" applyFont="1" applyFill="1" applyAlignment="1">
      <alignment horizontal="center"/>
    </xf>
    <xf numFmtId="165" fontId="16" fillId="0" borderId="0" xfId="2" applyNumberFormat="1" applyFont="1" applyFill="1"/>
    <xf numFmtId="0" fontId="17" fillId="0" borderId="0" xfId="2" applyFont="1" applyFill="1"/>
    <xf numFmtId="0" fontId="18" fillId="0" borderId="0" xfId="2" applyFont="1" applyFill="1"/>
    <xf numFmtId="0" fontId="5" fillId="0" borderId="0" xfId="0" applyFont="1" applyFill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justify"/>
    </xf>
    <xf numFmtId="0" fontId="6" fillId="0" borderId="0" xfId="2" applyFont="1" applyFill="1" applyAlignment="1">
      <alignment horizontal="right" wrapText="1"/>
    </xf>
    <xf numFmtId="0" fontId="6" fillId="0" borderId="0" xfId="0" applyFont="1" applyFill="1" applyAlignment="1">
      <alignment horizontal="right" vertical="center"/>
    </xf>
    <xf numFmtId="0" fontId="6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right" wrapText="1"/>
    </xf>
    <xf numFmtId="0" fontId="6" fillId="0" borderId="0" xfId="0" applyFont="1" applyFill="1" applyAlignment="1">
      <alignment horizontal="right" vertical="center"/>
    </xf>
  </cellXfs>
  <cellStyles count="9">
    <cellStyle name="Обычный" xfId="0" builtinId="0"/>
    <cellStyle name="Обычный 2" xfId="4"/>
    <cellStyle name="Обычный 3" xfId="1"/>
    <cellStyle name="Обычный 3 2" xfId="7"/>
    <cellStyle name="Обычный 4" xfId="2"/>
    <cellStyle name="Обычный 5" xfId="5"/>
    <cellStyle name="Обычный 6" xfId="8"/>
    <cellStyle name="Обычный_ноябрь 2003" xf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0"/>
  <sheetViews>
    <sheetView tabSelected="1" zoomScale="90" zoomScaleNormal="90" workbookViewId="0">
      <selection activeCell="H11" sqref="H11"/>
    </sheetView>
  </sheetViews>
  <sheetFormatPr defaultColWidth="9.140625" defaultRowHeight="15" x14ac:dyDescent="0.25"/>
  <cols>
    <col min="1" max="1" width="69.28515625" style="49" customWidth="1"/>
    <col min="2" max="2" width="7.28515625" style="18" customWidth="1"/>
    <col min="3" max="3" width="14.7109375" style="50" customWidth="1"/>
    <col min="4" max="4" width="6.140625" style="51" customWidth="1"/>
    <col min="5" max="5" width="12.5703125" style="18" customWidth="1"/>
    <col min="6" max="6" width="13" style="18" customWidth="1"/>
    <col min="7" max="7" width="12.28515625" style="18" customWidth="1"/>
    <col min="8" max="16384" width="9.140625" style="18"/>
  </cols>
  <sheetData>
    <row r="1" spans="1:7" s="4" customFormat="1" ht="12.75" x14ac:dyDescent="0.2">
      <c r="A1" s="2"/>
      <c r="B1" s="3"/>
      <c r="C1" s="165" t="s">
        <v>728</v>
      </c>
      <c r="D1" s="165"/>
      <c r="E1" s="165"/>
      <c r="F1" s="165"/>
      <c r="G1" s="165"/>
    </row>
    <row r="2" spans="1:7" s="4" customFormat="1" ht="12.75" x14ac:dyDescent="0.2">
      <c r="A2" s="2"/>
      <c r="B2" s="3"/>
      <c r="C2" s="165" t="s">
        <v>0</v>
      </c>
      <c r="D2" s="165"/>
      <c r="E2" s="165"/>
      <c r="F2" s="165"/>
      <c r="G2" s="165"/>
    </row>
    <row r="3" spans="1:7" s="4" customFormat="1" ht="12.75" x14ac:dyDescent="0.2">
      <c r="A3" s="2"/>
      <c r="B3" s="3"/>
      <c r="C3" s="165" t="s">
        <v>1</v>
      </c>
      <c r="D3" s="165"/>
      <c r="E3" s="165"/>
      <c r="F3" s="165"/>
      <c r="G3" s="165"/>
    </row>
    <row r="4" spans="1:7" s="4" customFormat="1" ht="12.75" x14ac:dyDescent="0.2">
      <c r="A4" s="2"/>
      <c r="B4" s="3"/>
      <c r="C4" s="165"/>
      <c r="D4" s="165"/>
      <c r="E4" s="165"/>
      <c r="F4" s="166" t="s">
        <v>732</v>
      </c>
      <c r="G4" s="166"/>
    </row>
    <row r="5" spans="1:7" s="4" customFormat="1" ht="12.75" customHeight="1" x14ac:dyDescent="0.2">
      <c r="A5" s="2"/>
      <c r="B5" s="3"/>
      <c r="C5" s="160"/>
      <c r="D5" s="160"/>
      <c r="E5" s="160"/>
      <c r="F5" s="161"/>
      <c r="G5" s="161"/>
    </row>
    <row r="6" spans="1:7" s="4" customFormat="1" ht="12.75" customHeight="1" x14ac:dyDescent="0.2">
      <c r="A6" s="2"/>
      <c r="B6" s="3"/>
      <c r="C6" s="165" t="s">
        <v>692</v>
      </c>
      <c r="D6" s="165"/>
      <c r="E6" s="165"/>
      <c r="F6" s="165"/>
      <c r="G6" s="165"/>
    </row>
    <row r="7" spans="1:7" s="4" customFormat="1" ht="12.75" customHeight="1" x14ac:dyDescent="0.2">
      <c r="A7" s="2"/>
      <c r="B7" s="3"/>
      <c r="C7" s="165" t="s">
        <v>0</v>
      </c>
      <c r="D7" s="165"/>
      <c r="E7" s="165"/>
      <c r="F7" s="165"/>
      <c r="G7" s="165"/>
    </row>
    <row r="8" spans="1:7" s="4" customFormat="1" ht="12.75" x14ac:dyDescent="0.2">
      <c r="A8" s="2"/>
      <c r="B8" s="3"/>
      <c r="C8" s="165" t="s">
        <v>1</v>
      </c>
      <c r="D8" s="165"/>
      <c r="E8" s="165"/>
      <c r="F8" s="165"/>
      <c r="G8" s="165"/>
    </row>
    <row r="9" spans="1:7" s="4" customFormat="1" ht="12.75" x14ac:dyDescent="0.2">
      <c r="A9" s="2"/>
      <c r="B9" s="3"/>
      <c r="C9" s="165"/>
      <c r="D9" s="165"/>
      <c r="E9" s="165"/>
      <c r="F9" s="162" t="s">
        <v>691</v>
      </c>
      <c r="G9" s="162"/>
    </row>
    <row r="10" spans="1:7" s="4" customFormat="1" ht="12.75" x14ac:dyDescent="0.2">
      <c r="A10" s="2"/>
      <c r="B10" s="3"/>
      <c r="C10" s="164"/>
      <c r="D10" s="164"/>
      <c r="E10" s="164"/>
      <c r="F10" s="138"/>
      <c r="G10" s="161"/>
    </row>
    <row r="11" spans="1:7" s="4" customFormat="1" ht="50.25" customHeight="1" x14ac:dyDescent="0.2">
      <c r="A11" s="163" t="s">
        <v>431</v>
      </c>
      <c r="B11" s="163"/>
      <c r="C11" s="163"/>
      <c r="D11" s="163"/>
      <c r="E11" s="163"/>
      <c r="F11" s="163"/>
      <c r="G11" s="163"/>
    </row>
    <row r="12" spans="1:7" s="4" customFormat="1" ht="12.75" x14ac:dyDescent="0.2">
      <c r="A12" s="2"/>
      <c r="B12" s="3"/>
      <c r="G12" s="52" t="s">
        <v>617</v>
      </c>
    </row>
    <row r="13" spans="1:7" s="4" customFormat="1" x14ac:dyDescent="0.2">
      <c r="A13" s="5" t="s">
        <v>2</v>
      </c>
      <c r="B13" s="6" t="s">
        <v>3</v>
      </c>
      <c r="C13" s="6" t="s">
        <v>4</v>
      </c>
      <c r="D13" s="7" t="s">
        <v>5</v>
      </c>
      <c r="E13" s="8">
        <v>2020</v>
      </c>
      <c r="F13" s="8">
        <v>2021</v>
      </c>
      <c r="G13" s="8">
        <v>2022</v>
      </c>
    </row>
    <row r="14" spans="1:7" s="13" customFormat="1" x14ac:dyDescent="0.25">
      <c r="A14" s="9" t="s">
        <v>6</v>
      </c>
      <c r="B14" s="10" t="s">
        <v>7</v>
      </c>
      <c r="C14" s="57"/>
      <c r="D14" s="11"/>
      <c r="E14" s="12">
        <f>E15+E19+E34+E55+E66+E70+E62+E50</f>
        <v>816159.09999999986</v>
      </c>
      <c r="F14" s="12">
        <f>F15+F19+F34+F55+F66+F70+F62+F50</f>
        <v>475982.99999999994</v>
      </c>
      <c r="G14" s="12">
        <f>G15+G19+G34+G55+G66+G70+G62+G50</f>
        <v>498295.19999999995</v>
      </c>
    </row>
    <row r="15" spans="1:7" s="13" customFormat="1" ht="29.25" x14ac:dyDescent="0.25">
      <c r="A15" s="9" t="s">
        <v>36</v>
      </c>
      <c r="B15" s="10" t="s">
        <v>37</v>
      </c>
      <c r="C15" s="14"/>
      <c r="D15" s="11"/>
      <c r="E15" s="12">
        <f>E16</f>
        <v>3488.1</v>
      </c>
      <c r="F15" s="12">
        <f t="shared" ref="F15:G17" si="0">F16</f>
        <v>2650.4</v>
      </c>
      <c r="G15" s="12">
        <f t="shared" si="0"/>
        <v>2756.5</v>
      </c>
    </row>
    <row r="16" spans="1:7" x14ac:dyDescent="0.25">
      <c r="A16" s="1" t="s">
        <v>10</v>
      </c>
      <c r="B16" s="15" t="s">
        <v>37</v>
      </c>
      <c r="C16" s="16" t="s">
        <v>11</v>
      </c>
      <c r="D16" s="17"/>
      <c r="E16" s="58">
        <f>E17</f>
        <v>3488.1</v>
      </c>
      <c r="F16" s="58">
        <f t="shared" si="0"/>
        <v>2650.4</v>
      </c>
      <c r="G16" s="58">
        <f t="shared" si="0"/>
        <v>2756.5</v>
      </c>
    </row>
    <row r="17" spans="1:7" x14ac:dyDescent="0.25">
      <c r="A17" s="1" t="s">
        <v>38</v>
      </c>
      <c r="B17" s="15" t="s">
        <v>37</v>
      </c>
      <c r="C17" s="16" t="s">
        <v>39</v>
      </c>
      <c r="D17" s="17"/>
      <c r="E17" s="58">
        <f>E18</f>
        <v>3488.1</v>
      </c>
      <c r="F17" s="58">
        <f t="shared" si="0"/>
        <v>2650.4</v>
      </c>
      <c r="G17" s="58">
        <f t="shared" si="0"/>
        <v>2756.5</v>
      </c>
    </row>
    <row r="18" spans="1:7" ht="60" x14ac:dyDescent="0.25">
      <c r="A18" s="1" t="s">
        <v>14</v>
      </c>
      <c r="B18" s="15" t="s">
        <v>37</v>
      </c>
      <c r="C18" s="16" t="s">
        <v>39</v>
      </c>
      <c r="D18" s="17">
        <v>100</v>
      </c>
      <c r="E18" s="120">
        <f>2547.1+486.6+454.4</f>
        <v>3488.1</v>
      </c>
      <c r="F18" s="120">
        <v>2650.4</v>
      </c>
      <c r="G18" s="120">
        <v>2756.5</v>
      </c>
    </row>
    <row r="19" spans="1:7" s="13" customFormat="1" ht="43.5" x14ac:dyDescent="0.25">
      <c r="A19" s="9" t="s">
        <v>8</v>
      </c>
      <c r="B19" s="10" t="s">
        <v>9</v>
      </c>
      <c r="C19" s="11"/>
      <c r="D19" s="12"/>
      <c r="E19" s="12">
        <f>E20</f>
        <v>37796.899999999994</v>
      </c>
      <c r="F19" s="12">
        <f>F20</f>
        <v>35333.699999999997</v>
      </c>
      <c r="G19" s="12">
        <f>G20</f>
        <v>36232.199999999997</v>
      </c>
    </row>
    <row r="20" spans="1:7" s="13" customFormat="1" x14ac:dyDescent="0.25">
      <c r="A20" s="1" t="s">
        <v>10</v>
      </c>
      <c r="B20" s="15" t="s">
        <v>9</v>
      </c>
      <c r="C20" s="16" t="s">
        <v>11</v>
      </c>
      <c r="D20" s="17"/>
      <c r="E20" s="58">
        <f>SUM(E21++E23+E26+E28+++E32)</f>
        <v>37796.899999999994</v>
      </c>
      <c r="F20" s="58">
        <f>SUM(F21++F23+F26+F28+++F32)</f>
        <v>35333.699999999997</v>
      </c>
      <c r="G20" s="58">
        <f>SUM(G21++G23+G26+G28+++G32)</f>
        <v>36232.199999999997</v>
      </c>
    </row>
    <row r="21" spans="1:7" s="13" customFormat="1" ht="18.75" customHeight="1" x14ac:dyDescent="0.25">
      <c r="A21" s="1" t="s">
        <v>12</v>
      </c>
      <c r="B21" s="15" t="s">
        <v>9</v>
      </c>
      <c r="C21" s="16" t="s">
        <v>13</v>
      </c>
      <c r="D21" s="17"/>
      <c r="E21" s="58">
        <f>E22</f>
        <v>3006.2999999999997</v>
      </c>
      <c r="F21" s="58">
        <f>F22</f>
        <v>2611.5</v>
      </c>
      <c r="G21" s="58">
        <f>G22</f>
        <v>2716</v>
      </c>
    </row>
    <row r="22" spans="1:7" s="13" customFormat="1" ht="60" x14ac:dyDescent="0.25">
      <c r="A22" s="1" t="s">
        <v>14</v>
      </c>
      <c r="B22" s="15" t="s">
        <v>9</v>
      </c>
      <c r="C22" s="16" t="s">
        <v>13</v>
      </c>
      <c r="D22" s="17">
        <v>100</v>
      </c>
      <c r="E22" s="120">
        <f>2509.6+479.5+17.2</f>
        <v>3006.2999999999997</v>
      </c>
      <c r="F22" s="120">
        <v>2611.5</v>
      </c>
      <c r="G22" s="120">
        <v>2716</v>
      </c>
    </row>
    <row r="23" spans="1:7" s="13" customFormat="1" ht="30" x14ac:dyDescent="0.25">
      <c r="A23" s="1" t="s">
        <v>15</v>
      </c>
      <c r="B23" s="15" t="s">
        <v>9</v>
      </c>
      <c r="C23" s="16" t="s">
        <v>16</v>
      </c>
      <c r="D23" s="17"/>
      <c r="E23" s="58">
        <f>E24+E25</f>
        <v>221.3000000000003</v>
      </c>
      <c r="F23" s="58">
        <f>F24</f>
        <v>2391</v>
      </c>
      <c r="G23" s="58">
        <f>G24</f>
        <v>2486.6999999999998</v>
      </c>
    </row>
    <row r="24" spans="1:7" s="13" customFormat="1" ht="60" x14ac:dyDescent="0.25">
      <c r="A24" s="1" t="s">
        <v>14</v>
      </c>
      <c r="B24" s="15" t="s">
        <v>9</v>
      </c>
      <c r="C24" s="16" t="s">
        <v>16</v>
      </c>
      <c r="D24" s="17">
        <v>100</v>
      </c>
      <c r="E24" s="120">
        <f>2297.8+439-60-1021.6-1023.3-470.6</f>
        <v>161.3000000000003</v>
      </c>
      <c r="F24" s="120">
        <v>2391</v>
      </c>
      <c r="G24" s="120">
        <v>2486.6999999999998</v>
      </c>
    </row>
    <row r="25" spans="1:7" s="13" customFormat="1" x14ac:dyDescent="0.25">
      <c r="A25" s="65" t="s">
        <v>29</v>
      </c>
      <c r="B25" s="15" t="s">
        <v>9</v>
      </c>
      <c r="C25" s="16" t="s">
        <v>16</v>
      </c>
      <c r="D25" s="17">
        <v>300</v>
      </c>
      <c r="E25" s="120">
        <v>60</v>
      </c>
      <c r="F25" s="120"/>
      <c r="G25" s="120"/>
    </row>
    <row r="26" spans="1:7" s="13" customFormat="1" x14ac:dyDescent="0.25">
      <c r="A26" s="1" t="s">
        <v>17</v>
      </c>
      <c r="B26" s="15" t="s">
        <v>9</v>
      </c>
      <c r="C26" s="16" t="s">
        <v>18</v>
      </c>
      <c r="D26" s="17"/>
      <c r="E26" s="58">
        <f>E27</f>
        <v>0</v>
      </c>
      <c r="F26" s="58">
        <f>F27</f>
        <v>2222.9</v>
      </c>
      <c r="G26" s="58">
        <f>G27</f>
        <v>2311.8000000000002</v>
      </c>
    </row>
    <row r="27" spans="1:7" s="13" customFormat="1" ht="60" x14ac:dyDescent="0.25">
      <c r="A27" s="1" t="s">
        <v>14</v>
      </c>
      <c r="B27" s="15" t="s">
        <v>9</v>
      </c>
      <c r="C27" s="16" t="s">
        <v>18</v>
      </c>
      <c r="D27" s="17">
        <v>100</v>
      </c>
      <c r="E27" s="120">
        <f>2136.2+408.2-1954.2-590.2</f>
        <v>0</v>
      </c>
      <c r="F27" s="120">
        <v>2222.9</v>
      </c>
      <c r="G27" s="120">
        <v>2311.8000000000002</v>
      </c>
    </row>
    <row r="28" spans="1:7" s="13" customFormat="1" x14ac:dyDescent="0.25">
      <c r="A28" s="60" t="s">
        <v>19</v>
      </c>
      <c r="B28" s="15" t="s">
        <v>9</v>
      </c>
      <c r="C28" s="16" t="s">
        <v>20</v>
      </c>
      <c r="D28" s="17"/>
      <c r="E28" s="58">
        <f>SUM(E29:E31)</f>
        <v>20723.499999999996</v>
      </c>
      <c r="F28" s="58">
        <f>SUM(F29:F31)</f>
        <v>17609</v>
      </c>
      <c r="G28" s="58">
        <f>SUM(G29:G31)</f>
        <v>18218.400000000001</v>
      </c>
    </row>
    <row r="29" spans="1:7" s="13" customFormat="1" ht="60" x14ac:dyDescent="0.25">
      <c r="A29" s="1" t="s">
        <v>14</v>
      </c>
      <c r="B29" s="15" t="s">
        <v>9</v>
      </c>
      <c r="C29" s="16" t="s">
        <v>20</v>
      </c>
      <c r="D29" s="17">
        <v>100</v>
      </c>
      <c r="E29" s="120">
        <f>14732.8+2799.1+130.8+895.1</f>
        <v>18557.799999999996</v>
      </c>
      <c r="F29" s="120">
        <v>15326.8</v>
      </c>
      <c r="G29" s="120">
        <v>15936.2</v>
      </c>
    </row>
    <row r="30" spans="1:7" s="13" customFormat="1" ht="30" x14ac:dyDescent="0.25">
      <c r="A30" s="1" t="s">
        <v>21</v>
      </c>
      <c r="B30" s="15" t="s">
        <v>9</v>
      </c>
      <c r="C30" s="16" t="s">
        <v>20</v>
      </c>
      <c r="D30" s="17">
        <v>200</v>
      </c>
      <c r="E30" s="120">
        <f>2325-325</f>
        <v>2000</v>
      </c>
      <c r="F30" s="120">
        <v>2282.1999999999998</v>
      </c>
      <c r="G30" s="120">
        <v>2282.1999999999998</v>
      </c>
    </row>
    <row r="31" spans="1:7" s="13" customFormat="1" x14ac:dyDescent="0.25">
      <c r="A31" s="65" t="s">
        <v>29</v>
      </c>
      <c r="B31" s="15" t="s">
        <v>9</v>
      </c>
      <c r="C31" s="16" t="s">
        <v>20</v>
      </c>
      <c r="D31" s="17">
        <v>300</v>
      </c>
      <c r="E31" s="59">
        <v>165.7</v>
      </c>
      <c r="F31" s="59"/>
      <c r="G31" s="20"/>
    </row>
    <row r="32" spans="1:7" s="13" customFormat="1" x14ac:dyDescent="0.25">
      <c r="A32" s="1" t="s">
        <v>23</v>
      </c>
      <c r="B32" s="15" t="s">
        <v>9</v>
      </c>
      <c r="C32" s="16" t="s">
        <v>24</v>
      </c>
      <c r="D32" s="17"/>
      <c r="E32" s="58">
        <f>E33</f>
        <v>13845.8</v>
      </c>
      <c r="F32" s="58">
        <f>F33</f>
        <v>10499.3</v>
      </c>
      <c r="G32" s="58">
        <f>G33</f>
        <v>10499.3</v>
      </c>
    </row>
    <row r="33" spans="1:7" ht="60" x14ac:dyDescent="0.25">
      <c r="A33" s="1" t="s">
        <v>14</v>
      </c>
      <c r="B33" s="15" t="s">
        <v>9</v>
      </c>
      <c r="C33" s="16" t="s">
        <v>24</v>
      </c>
      <c r="D33" s="17">
        <v>100</v>
      </c>
      <c r="E33" s="120">
        <f>10499.3+2538.6+875.3-67.4</f>
        <v>13845.8</v>
      </c>
      <c r="F33" s="120">
        <v>10499.3</v>
      </c>
      <c r="G33" s="120">
        <v>10499.3</v>
      </c>
    </row>
    <row r="34" spans="1:7" s="13" customFormat="1" ht="43.5" x14ac:dyDescent="0.25">
      <c r="A34" s="9" t="s">
        <v>40</v>
      </c>
      <c r="B34" s="10" t="s">
        <v>41</v>
      </c>
      <c r="C34" s="14"/>
      <c r="D34" s="11"/>
      <c r="E34" s="12">
        <f>E35</f>
        <v>241855.3</v>
      </c>
      <c r="F34" s="12">
        <f>F35</f>
        <v>216494</v>
      </c>
      <c r="G34" s="12">
        <f>G35</f>
        <v>224241.1</v>
      </c>
    </row>
    <row r="35" spans="1:7" x14ac:dyDescent="0.25">
      <c r="A35" s="1" t="s">
        <v>10</v>
      </c>
      <c r="B35" s="15" t="s">
        <v>41</v>
      </c>
      <c r="C35" s="16" t="s">
        <v>11</v>
      </c>
      <c r="D35" s="17"/>
      <c r="E35" s="58">
        <f>E36+E41</f>
        <v>241855.3</v>
      </c>
      <c r="F35" s="58">
        <f>F36+F41</f>
        <v>216494</v>
      </c>
      <c r="G35" s="58">
        <f>G36+G41</f>
        <v>224241.1</v>
      </c>
    </row>
    <row r="36" spans="1:7" ht="30" x14ac:dyDescent="0.25">
      <c r="A36" s="61" t="s">
        <v>42</v>
      </c>
      <c r="B36" s="15" t="s">
        <v>41</v>
      </c>
      <c r="C36" s="16" t="s">
        <v>43</v>
      </c>
      <c r="D36" s="17"/>
      <c r="E36" s="58">
        <f>SUM(E37:E40)</f>
        <v>233403.3</v>
      </c>
      <c r="F36" s="58">
        <f>SUM(F37:F40)</f>
        <v>209178.8</v>
      </c>
      <c r="G36" s="58">
        <f>SUM(G37:G40)</f>
        <v>216853.6</v>
      </c>
    </row>
    <row r="37" spans="1:7" ht="60" x14ac:dyDescent="0.25">
      <c r="A37" s="1" t="s">
        <v>14</v>
      </c>
      <c r="B37" s="15" t="s">
        <v>41</v>
      </c>
      <c r="C37" s="16" t="s">
        <v>43</v>
      </c>
      <c r="D37" s="17">
        <v>100</v>
      </c>
      <c r="E37" s="120">
        <f>188718.6-500+11100.5+23701.6-153.4-1215.7-454.4-577.1-300+577.5</f>
        <v>220897.6</v>
      </c>
      <c r="F37" s="120">
        <v>196550.8</v>
      </c>
      <c r="G37" s="120">
        <v>204136.3</v>
      </c>
    </row>
    <row r="38" spans="1:7" ht="30" x14ac:dyDescent="0.25">
      <c r="A38" s="1" t="s">
        <v>21</v>
      </c>
      <c r="B38" s="15" t="s">
        <v>41</v>
      </c>
      <c r="C38" s="16" t="s">
        <v>43</v>
      </c>
      <c r="D38" s="17">
        <v>200</v>
      </c>
      <c r="E38" s="120">
        <f>11354.2+65+177-961-839.9-900-300</f>
        <v>8595.3000000000011</v>
      </c>
      <c r="F38" s="120">
        <v>10577.4</v>
      </c>
      <c r="G38" s="120">
        <v>10666.7</v>
      </c>
    </row>
    <row r="39" spans="1:7" x14ac:dyDescent="0.25">
      <c r="A39" s="65" t="s">
        <v>29</v>
      </c>
      <c r="B39" s="15" t="s">
        <v>41</v>
      </c>
      <c r="C39" s="16" t="s">
        <v>43</v>
      </c>
      <c r="D39" s="17">
        <v>300</v>
      </c>
      <c r="E39" s="120">
        <f>500+1009.8+163</f>
        <v>1672.8</v>
      </c>
      <c r="F39" s="120"/>
      <c r="G39" s="120"/>
    </row>
    <row r="40" spans="1:7" x14ac:dyDescent="0.25">
      <c r="A40" s="60" t="s">
        <v>22</v>
      </c>
      <c r="B40" s="15" t="s">
        <v>41</v>
      </c>
      <c r="C40" s="16" t="s">
        <v>43</v>
      </c>
      <c r="D40" s="17">
        <v>800</v>
      </c>
      <c r="E40" s="120">
        <f>2050.6-163+450-100</f>
        <v>2237.6</v>
      </c>
      <c r="F40" s="120">
        <v>2050.6</v>
      </c>
      <c r="G40" s="120">
        <v>2050.6</v>
      </c>
    </row>
    <row r="41" spans="1:7" x14ac:dyDescent="0.25">
      <c r="A41" s="60" t="s">
        <v>44</v>
      </c>
      <c r="B41" s="19" t="s">
        <v>41</v>
      </c>
      <c r="C41" s="19" t="s">
        <v>45</v>
      </c>
      <c r="D41" s="15"/>
      <c r="E41" s="58">
        <f>E42+E47+E44</f>
        <v>8452</v>
      </c>
      <c r="F41" s="58">
        <f t="shared" ref="F41:G41" si="1">F42+F47+F44</f>
        <v>7315.2</v>
      </c>
      <c r="G41" s="58">
        <f t="shared" si="1"/>
        <v>7387.5</v>
      </c>
    </row>
    <row r="42" spans="1:7" ht="60" x14ac:dyDescent="0.25">
      <c r="A42" s="65" t="s">
        <v>525</v>
      </c>
      <c r="B42" s="15" t="s">
        <v>41</v>
      </c>
      <c r="C42" s="106" t="s">
        <v>50</v>
      </c>
      <c r="D42" s="64"/>
      <c r="E42" s="120">
        <f>E43</f>
        <v>3023.1</v>
      </c>
      <c r="F42" s="120">
        <f t="shared" ref="F42:G42" si="2">F43</f>
        <v>2233.1</v>
      </c>
      <c r="G42" s="120">
        <f t="shared" si="2"/>
        <v>2233.1</v>
      </c>
    </row>
    <row r="43" spans="1:7" ht="60" x14ac:dyDescent="0.25">
      <c r="A43" s="65" t="s">
        <v>14</v>
      </c>
      <c r="B43" s="15" t="s">
        <v>41</v>
      </c>
      <c r="C43" s="106" t="s">
        <v>50</v>
      </c>
      <c r="D43" s="64">
        <v>100</v>
      </c>
      <c r="E43" s="120">
        <v>3023.1</v>
      </c>
      <c r="F43" s="120">
        <v>2233.1</v>
      </c>
      <c r="G43" s="120">
        <v>2233.1</v>
      </c>
    </row>
    <row r="44" spans="1:7" ht="75" x14ac:dyDescent="0.25">
      <c r="A44" s="65" t="s">
        <v>690</v>
      </c>
      <c r="B44" s="15" t="s">
        <v>41</v>
      </c>
      <c r="C44" s="16" t="s">
        <v>46</v>
      </c>
      <c r="D44" s="16"/>
      <c r="E44" s="120">
        <f>E45+E46</f>
        <v>3513.8</v>
      </c>
      <c r="F44" s="120">
        <f t="shared" ref="F44:G44" si="3">F45+F46</f>
        <v>3109.8</v>
      </c>
      <c r="G44" s="120">
        <f t="shared" si="3"/>
        <v>3109.8</v>
      </c>
    </row>
    <row r="45" spans="1:7" ht="60" x14ac:dyDescent="0.25">
      <c r="A45" s="65" t="s">
        <v>14</v>
      </c>
      <c r="B45" s="15" t="s">
        <v>41</v>
      </c>
      <c r="C45" s="16" t="s">
        <v>46</v>
      </c>
      <c r="D45" s="16" t="s">
        <v>47</v>
      </c>
      <c r="E45" s="120">
        <f>2707.4+30.6</f>
        <v>2738</v>
      </c>
      <c r="F45" s="120">
        <v>2707.4</v>
      </c>
      <c r="G45" s="120">
        <v>2707.4</v>
      </c>
    </row>
    <row r="46" spans="1:7" ht="30" x14ac:dyDescent="0.25">
      <c r="A46" s="65" t="s">
        <v>21</v>
      </c>
      <c r="B46" s="15" t="s">
        <v>41</v>
      </c>
      <c r="C46" s="16" t="s">
        <v>46</v>
      </c>
      <c r="D46" s="16" t="s">
        <v>48</v>
      </c>
      <c r="E46" s="120">
        <f>806.4-30.6</f>
        <v>775.8</v>
      </c>
      <c r="F46" s="120">
        <v>402.4</v>
      </c>
      <c r="G46" s="120">
        <v>402.4</v>
      </c>
    </row>
    <row r="47" spans="1:7" ht="45" x14ac:dyDescent="0.25">
      <c r="A47" s="65" t="s">
        <v>526</v>
      </c>
      <c r="B47" s="15" t="s">
        <v>41</v>
      </c>
      <c r="C47" s="106" t="s">
        <v>49</v>
      </c>
      <c r="D47" s="64"/>
      <c r="E47" s="120">
        <f>E48+E49</f>
        <v>1915.1</v>
      </c>
      <c r="F47" s="120">
        <f t="shared" ref="F47:G47" si="4">F48+F49</f>
        <v>1972.3</v>
      </c>
      <c r="G47" s="120">
        <f t="shared" si="4"/>
        <v>2044.6</v>
      </c>
    </row>
    <row r="48" spans="1:7" ht="60" x14ac:dyDescent="0.25">
      <c r="A48" s="65" t="s">
        <v>14</v>
      </c>
      <c r="B48" s="15" t="s">
        <v>41</v>
      </c>
      <c r="C48" s="106" t="s">
        <v>49</v>
      </c>
      <c r="D48" s="64">
        <v>100</v>
      </c>
      <c r="E48" s="120">
        <f>1915.1-170</f>
        <v>1745.1</v>
      </c>
      <c r="F48" s="120">
        <v>1972.3</v>
      </c>
      <c r="G48" s="120">
        <v>2044.6</v>
      </c>
    </row>
    <row r="49" spans="1:7" ht="30" x14ac:dyDescent="0.25">
      <c r="A49" s="65" t="s">
        <v>21</v>
      </c>
      <c r="B49" s="15" t="s">
        <v>41</v>
      </c>
      <c r="C49" s="106" t="s">
        <v>49</v>
      </c>
      <c r="D49" s="64">
        <v>200</v>
      </c>
      <c r="E49" s="120">
        <v>170</v>
      </c>
      <c r="F49" s="120"/>
      <c r="G49" s="120"/>
    </row>
    <row r="50" spans="1:7" s="13" customFormat="1" x14ac:dyDescent="0.25">
      <c r="A50" s="66" t="s">
        <v>401</v>
      </c>
      <c r="B50" s="67" t="s">
        <v>402</v>
      </c>
      <c r="C50" s="68"/>
      <c r="D50" s="69"/>
      <c r="E50" s="54">
        <f>E51</f>
        <v>36.700000000000003</v>
      </c>
      <c r="F50" s="54">
        <f t="shared" ref="F50:G52" si="5">F51</f>
        <v>39.5</v>
      </c>
      <c r="G50" s="54">
        <f t="shared" si="5"/>
        <v>493.1</v>
      </c>
    </row>
    <row r="51" spans="1:7" s="13" customFormat="1" x14ac:dyDescent="0.25">
      <c r="A51" s="1" t="s">
        <v>10</v>
      </c>
      <c r="B51" s="71" t="s">
        <v>402</v>
      </c>
      <c r="C51" s="16" t="s">
        <v>11</v>
      </c>
      <c r="D51" s="69"/>
      <c r="E51" s="20">
        <f>E52</f>
        <v>36.700000000000003</v>
      </c>
      <c r="F51" s="20">
        <f t="shared" si="5"/>
        <v>39.5</v>
      </c>
      <c r="G51" s="20">
        <f t="shared" si="5"/>
        <v>493.1</v>
      </c>
    </row>
    <row r="52" spans="1:7" x14ac:dyDescent="0.25">
      <c r="A52" s="70" t="s">
        <v>44</v>
      </c>
      <c r="B52" s="71" t="s">
        <v>402</v>
      </c>
      <c r="C52" s="71" t="s">
        <v>45</v>
      </c>
      <c r="D52" s="64"/>
      <c r="E52" s="20">
        <f>E53</f>
        <v>36.700000000000003</v>
      </c>
      <c r="F52" s="20">
        <f t="shared" si="5"/>
        <v>39.5</v>
      </c>
      <c r="G52" s="20">
        <f t="shared" si="5"/>
        <v>493.1</v>
      </c>
    </row>
    <row r="53" spans="1:7" ht="45" x14ac:dyDescent="0.25">
      <c r="A53" s="72" t="s">
        <v>527</v>
      </c>
      <c r="B53" s="71" t="s">
        <v>402</v>
      </c>
      <c r="C53" s="135" t="s">
        <v>511</v>
      </c>
      <c r="D53" s="64"/>
      <c r="E53" s="120">
        <f>E54</f>
        <v>36.700000000000003</v>
      </c>
      <c r="F53" s="120">
        <f t="shared" ref="F53:G53" si="6">F54</f>
        <v>39.5</v>
      </c>
      <c r="G53" s="120">
        <f t="shared" si="6"/>
        <v>493.1</v>
      </c>
    </row>
    <row r="54" spans="1:7" ht="30" x14ac:dyDescent="0.25">
      <c r="A54" s="77" t="s">
        <v>56</v>
      </c>
      <c r="B54" s="71" t="s">
        <v>402</v>
      </c>
      <c r="C54" s="135" t="s">
        <v>511</v>
      </c>
      <c r="D54" s="64">
        <v>600</v>
      </c>
      <c r="E54" s="120">
        <v>36.700000000000003</v>
      </c>
      <c r="F54" s="120">
        <v>39.5</v>
      </c>
      <c r="G54" s="20">
        <v>493.1</v>
      </c>
    </row>
    <row r="55" spans="1:7" s="13" customFormat="1" ht="36.75" customHeight="1" x14ac:dyDescent="0.25">
      <c r="A55" s="9" t="s">
        <v>204</v>
      </c>
      <c r="B55" s="10" t="s">
        <v>205</v>
      </c>
      <c r="C55" s="14"/>
      <c r="D55" s="11"/>
      <c r="E55" s="12">
        <f t="shared" ref="E55:G56" si="7">SUM(E56)</f>
        <v>61174.299999999996</v>
      </c>
      <c r="F55" s="12">
        <f t="shared" si="7"/>
        <v>34786</v>
      </c>
      <c r="G55" s="12">
        <f t="shared" si="7"/>
        <v>45159.199999999997</v>
      </c>
    </row>
    <row r="56" spans="1:7" x14ac:dyDescent="0.25">
      <c r="A56" s="1" t="s">
        <v>10</v>
      </c>
      <c r="B56" s="15" t="s">
        <v>205</v>
      </c>
      <c r="C56" s="16" t="s">
        <v>11</v>
      </c>
      <c r="D56" s="17"/>
      <c r="E56" s="58">
        <f t="shared" si="7"/>
        <v>61174.299999999996</v>
      </c>
      <c r="F56" s="58">
        <f t="shared" si="7"/>
        <v>34786</v>
      </c>
      <c r="G56" s="58">
        <f t="shared" si="7"/>
        <v>45159.199999999997</v>
      </c>
    </row>
    <row r="57" spans="1:7" ht="30" x14ac:dyDescent="0.25">
      <c r="A57" s="61" t="s">
        <v>42</v>
      </c>
      <c r="B57" s="15" t="s">
        <v>205</v>
      </c>
      <c r="C57" s="16" t="s">
        <v>43</v>
      </c>
      <c r="D57" s="17"/>
      <c r="E57" s="58">
        <f>SUM(E58:E61)</f>
        <v>61174.299999999996</v>
      </c>
      <c r="F57" s="58">
        <f>SUM(F58:F61)</f>
        <v>34786</v>
      </c>
      <c r="G57" s="58">
        <f>SUM(G58:G61)</f>
        <v>45159.199999999997</v>
      </c>
    </row>
    <row r="58" spans="1:7" ht="60" x14ac:dyDescent="0.25">
      <c r="A58" s="1" t="s">
        <v>14</v>
      </c>
      <c r="B58" s="15" t="s">
        <v>205</v>
      </c>
      <c r="C58" s="16" t="s">
        <v>43</v>
      </c>
      <c r="D58" s="17">
        <v>100</v>
      </c>
      <c r="E58" s="120">
        <f>32264.4+15384+6168.2-501+2809.6+45-43.4+317+43.4+132.7-10-317</f>
        <v>56292.899999999994</v>
      </c>
      <c r="F58" s="120">
        <f>33573.5+15456.1-18770.9</f>
        <v>30258.699999999997</v>
      </c>
      <c r="G58" s="120">
        <f>34916.4+16074.4-10358.9</f>
        <v>40631.9</v>
      </c>
    </row>
    <row r="59" spans="1:7" s="13" customFormat="1" ht="30" x14ac:dyDescent="0.25">
      <c r="A59" s="1" t="s">
        <v>21</v>
      </c>
      <c r="B59" s="15" t="s">
        <v>205</v>
      </c>
      <c r="C59" s="16" t="s">
        <v>43</v>
      </c>
      <c r="D59" s="17">
        <v>200</v>
      </c>
      <c r="E59" s="120">
        <f>2182.2+2316.2-45+150-317+16.9-99</f>
        <v>4204.2999999999993</v>
      </c>
      <c r="F59" s="120">
        <f>2118.1+2316.2</f>
        <v>4434.2999999999993</v>
      </c>
      <c r="G59" s="120">
        <f>2118.1+2316.2</f>
        <v>4434.2999999999993</v>
      </c>
    </row>
    <row r="60" spans="1:7" s="13" customFormat="1" x14ac:dyDescent="0.25">
      <c r="A60" s="65" t="s">
        <v>29</v>
      </c>
      <c r="B60" s="15" t="s">
        <v>205</v>
      </c>
      <c r="C60" s="16" t="s">
        <v>43</v>
      </c>
      <c r="D60" s="17">
        <v>300</v>
      </c>
      <c r="E60" s="120">
        <f>501+99</f>
        <v>600</v>
      </c>
      <c r="F60" s="120"/>
      <c r="G60" s="120"/>
    </row>
    <row r="61" spans="1:7" x14ac:dyDescent="0.25">
      <c r="A61" s="60" t="s">
        <v>22</v>
      </c>
      <c r="B61" s="15" t="s">
        <v>205</v>
      </c>
      <c r="C61" s="16" t="s">
        <v>43</v>
      </c>
      <c r="D61" s="17">
        <v>800</v>
      </c>
      <c r="E61" s="120">
        <f>52+41-6.9+6.9-9-6.9</f>
        <v>77.099999999999994</v>
      </c>
      <c r="F61" s="120">
        <f>52+41</f>
        <v>93</v>
      </c>
      <c r="G61" s="120">
        <f>52+41</f>
        <v>93</v>
      </c>
    </row>
    <row r="62" spans="1:7" s="13" customFormat="1" x14ac:dyDescent="0.25">
      <c r="A62" s="56" t="s">
        <v>384</v>
      </c>
      <c r="B62" s="139" t="s">
        <v>386</v>
      </c>
      <c r="C62" s="14"/>
      <c r="D62" s="11"/>
      <c r="E62" s="136">
        <f>E63</f>
        <v>3148.2</v>
      </c>
      <c r="F62" s="136">
        <f t="shared" ref="F62:G64" si="8">F63</f>
        <v>0</v>
      </c>
      <c r="G62" s="136">
        <f t="shared" si="8"/>
        <v>0</v>
      </c>
    </row>
    <row r="63" spans="1:7" x14ac:dyDescent="0.25">
      <c r="A63" s="65" t="s">
        <v>10</v>
      </c>
      <c r="B63" s="122" t="s">
        <v>386</v>
      </c>
      <c r="C63" s="16" t="s">
        <v>11</v>
      </c>
      <c r="D63" s="17"/>
      <c r="E63" s="120">
        <f>E64</f>
        <v>3148.2</v>
      </c>
      <c r="F63" s="120">
        <f t="shared" si="8"/>
        <v>0</v>
      </c>
      <c r="G63" s="120">
        <f t="shared" si="8"/>
        <v>0</v>
      </c>
    </row>
    <row r="64" spans="1:7" x14ac:dyDescent="0.25">
      <c r="A64" s="65" t="s">
        <v>385</v>
      </c>
      <c r="B64" s="122" t="s">
        <v>386</v>
      </c>
      <c r="C64" s="16" t="s">
        <v>387</v>
      </c>
      <c r="D64" s="17"/>
      <c r="E64" s="120">
        <f>E65</f>
        <v>3148.2</v>
      </c>
      <c r="F64" s="120">
        <f t="shared" si="8"/>
        <v>0</v>
      </c>
      <c r="G64" s="120">
        <f t="shared" si="8"/>
        <v>0</v>
      </c>
    </row>
    <row r="65" spans="1:7" x14ac:dyDescent="0.25">
      <c r="A65" s="114" t="s">
        <v>22</v>
      </c>
      <c r="B65" s="122" t="s">
        <v>386</v>
      </c>
      <c r="C65" s="16" t="s">
        <v>387</v>
      </c>
      <c r="D65" s="17">
        <v>800</v>
      </c>
      <c r="E65" s="120">
        <f>2464.2+1021.6-337.6</f>
        <v>3148.2</v>
      </c>
      <c r="F65" s="120">
        <v>0</v>
      </c>
      <c r="G65" s="120">
        <v>0</v>
      </c>
    </row>
    <row r="66" spans="1:7" x14ac:dyDescent="0.25">
      <c r="A66" s="9" t="s">
        <v>206</v>
      </c>
      <c r="B66" s="10" t="s">
        <v>207</v>
      </c>
      <c r="C66" s="14"/>
      <c r="D66" s="11"/>
      <c r="E66" s="12">
        <f>E67</f>
        <v>25840.5</v>
      </c>
      <c r="F66" s="12">
        <f t="shared" ref="F66:G68" si="9">F67</f>
        <v>0</v>
      </c>
      <c r="G66" s="12">
        <f t="shared" si="9"/>
        <v>0</v>
      </c>
    </row>
    <row r="67" spans="1:7" x14ac:dyDescent="0.25">
      <c r="A67" s="1" t="s">
        <v>10</v>
      </c>
      <c r="B67" s="15" t="s">
        <v>207</v>
      </c>
      <c r="C67" s="16" t="s">
        <v>11</v>
      </c>
      <c r="D67" s="17"/>
      <c r="E67" s="58">
        <f>E68</f>
        <v>25840.5</v>
      </c>
      <c r="F67" s="58">
        <f t="shared" si="9"/>
        <v>0</v>
      </c>
      <c r="G67" s="58">
        <f t="shared" si="9"/>
        <v>0</v>
      </c>
    </row>
    <row r="68" spans="1:7" x14ac:dyDescent="0.25">
      <c r="A68" s="1" t="s">
        <v>208</v>
      </c>
      <c r="B68" s="15" t="s">
        <v>207</v>
      </c>
      <c r="C68" s="16" t="s">
        <v>209</v>
      </c>
      <c r="D68" s="17"/>
      <c r="E68" s="58">
        <f>E69</f>
        <v>25840.5</v>
      </c>
      <c r="F68" s="58">
        <f t="shared" si="9"/>
        <v>0</v>
      </c>
      <c r="G68" s="58">
        <f t="shared" si="9"/>
        <v>0</v>
      </c>
    </row>
    <row r="69" spans="1:7" x14ac:dyDescent="0.25">
      <c r="A69" s="60" t="s">
        <v>22</v>
      </c>
      <c r="B69" s="15" t="s">
        <v>207</v>
      </c>
      <c r="C69" s="16" t="s">
        <v>209</v>
      </c>
      <c r="D69" s="17">
        <v>800</v>
      </c>
      <c r="E69" s="120">
        <f>30000+18500+5000-27659.5</f>
        <v>25840.5</v>
      </c>
      <c r="F69" s="120">
        <f>50000-40000-10000</f>
        <v>0</v>
      </c>
      <c r="G69" s="120">
        <f>50000-40000-10000</f>
        <v>0</v>
      </c>
    </row>
    <row r="70" spans="1:7" x14ac:dyDescent="0.25">
      <c r="A70" s="9" t="s">
        <v>25</v>
      </c>
      <c r="B70" s="10" t="s">
        <v>26</v>
      </c>
      <c r="C70" s="14"/>
      <c r="D70" s="11"/>
      <c r="E70" s="12">
        <f>E71+E98+E105</f>
        <v>442819.1</v>
      </c>
      <c r="F70" s="12">
        <f>F71+F98+F105</f>
        <v>186679.39999999997</v>
      </c>
      <c r="G70" s="12">
        <f>G71+G98+G105</f>
        <v>189413.09999999995</v>
      </c>
    </row>
    <row r="71" spans="1:7" x14ac:dyDescent="0.25">
      <c r="A71" s="1" t="s">
        <v>10</v>
      </c>
      <c r="B71" s="15" t="s">
        <v>26</v>
      </c>
      <c r="C71" s="16" t="s">
        <v>11</v>
      </c>
      <c r="D71" s="17"/>
      <c r="E71" s="58">
        <f>E74+E79+E85+E93+E72+E88+E91+E95+E83</f>
        <v>415098.19999999995</v>
      </c>
      <c r="F71" s="58">
        <f t="shared" ref="F71:G71" si="10">F74+F79+F85+F93+F72+F88+F91</f>
        <v>162717.99999999997</v>
      </c>
      <c r="G71" s="58">
        <f t="shared" si="10"/>
        <v>164945.49999999997</v>
      </c>
    </row>
    <row r="72" spans="1:7" ht="45" x14ac:dyDescent="0.25">
      <c r="A72" s="65" t="s">
        <v>613</v>
      </c>
      <c r="B72" s="15" t="s">
        <v>26</v>
      </c>
      <c r="C72" s="16" t="s">
        <v>585</v>
      </c>
      <c r="D72" s="64"/>
      <c r="E72" s="58">
        <f>E73</f>
        <v>13234.1</v>
      </c>
      <c r="F72" s="58">
        <f t="shared" ref="F72:G72" si="11">F73</f>
        <v>0</v>
      </c>
      <c r="G72" s="58">
        <f t="shared" si="11"/>
        <v>0</v>
      </c>
    </row>
    <row r="73" spans="1:7" ht="30" x14ac:dyDescent="0.25">
      <c r="A73" s="65" t="s">
        <v>21</v>
      </c>
      <c r="B73" s="15" t="s">
        <v>26</v>
      </c>
      <c r="C73" s="16" t="s">
        <v>585</v>
      </c>
      <c r="D73" s="64">
        <v>200</v>
      </c>
      <c r="E73" s="58">
        <f>9925.6+3308.5</f>
        <v>13234.1</v>
      </c>
      <c r="F73" s="58">
        <v>0</v>
      </c>
      <c r="G73" s="58">
        <v>0</v>
      </c>
    </row>
    <row r="74" spans="1:7" ht="30" x14ac:dyDescent="0.25">
      <c r="A74" s="72" t="s">
        <v>42</v>
      </c>
      <c r="B74" s="15" t="s">
        <v>26</v>
      </c>
      <c r="C74" s="16" t="s">
        <v>43</v>
      </c>
      <c r="D74" s="17"/>
      <c r="E74" s="58">
        <f>SUM(E75:E78)</f>
        <v>46089.899999999994</v>
      </c>
      <c r="F74" s="58">
        <f>SUM(F75:F78)</f>
        <v>37633.599999999999</v>
      </c>
      <c r="G74" s="58">
        <f>SUM(G75:G78)</f>
        <v>39025.299999999996</v>
      </c>
    </row>
    <row r="75" spans="1:7" ht="60" x14ac:dyDescent="0.25">
      <c r="A75" s="1" t="s">
        <v>14</v>
      </c>
      <c r="B75" s="15" t="s">
        <v>26</v>
      </c>
      <c r="C75" s="16" t="s">
        <v>43</v>
      </c>
      <c r="D75" s="17">
        <v>100</v>
      </c>
      <c r="E75" s="120">
        <f>33436+6393.2-406.1+286.5</f>
        <v>39709.599999999999</v>
      </c>
      <c r="F75" s="120">
        <v>34792.800000000003</v>
      </c>
      <c r="G75" s="120">
        <v>36184.5</v>
      </c>
    </row>
    <row r="76" spans="1:7" ht="30" x14ac:dyDescent="0.25">
      <c r="A76" s="1" t="s">
        <v>21</v>
      </c>
      <c r="B76" s="15" t="s">
        <v>26</v>
      </c>
      <c r="C76" s="16" t="s">
        <v>43</v>
      </c>
      <c r="D76" s="17">
        <v>200</v>
      </c>
      <c r="E76" s="120">
        <f>5277-2000+35.8-600+200+215.1</f>
        <v>3127.9</v>
      </c>
      <c r="F76" s="120">
        <v>2610.6999999999998</v>
      </c>
      <c r="G76" s="120">
        <v>2610.6999999999998</v>
      </c>
    </row>
    <row r="77" spans="1:7" x14ac:dyDescent="0.25">
      <c r="A77" s="65" t="s">
        <v>29</v>
      </c>
      <c r="B77" s="15" t="s">
        <v>26</v>
      </c>
      <c r="C77" s="16" t="s">
        <v>43</v>
      </c>
      <c r="D77" s="17">
        <v>300</v>
      </c>
      <c r="E77" s="120">
        <v>155.19999999999999</v>
      </c>
      <c r="F77" s="120">
        <v>0</v>
      </c>
      <c r="G77" s="120">
        <v>0</v>
      </c>
    </row>
    <row r="78" spans="1:7" x14ac:dyDescent="0.25">
      <c r="A78" s="60" t="s">
        <v>22</v>
      </c>
      <c r="B78" s="15" t="s">
        <v>26</v>
      </c>
      <c r="C78" s="16" t="s">
        <v>43</v>
      </c>
      <c r="D78" s="17">
        <v>800</v>
      </c>
      <c r="E78" s="120">
        <f>230.1+1321.2+948.7+600+96.2-99</f>
        <v>3097.2</v>
      </c>
      <c r="F78" s="120">
        <v>230.1</v>
      </c>
      <c r="G78" s="120">
        <v>230.1</v>
      </c>
    </row>
    <row r="79" spans="1:7" ht="30" x14ac:dyDescent="0.25">
      <c r="A79" s="60" t="s">
        <v>51</v>
      </c>
      <c r="B79" s="15" t="s">
        <v>26</v>
      </c>
      <c r="C79" s="16" t="s">
        <v>52</v>
      </c>
      <c r="D79" s="17"/>
      <c r="E79" s="58">
        <f>SUM(E80:E82)</f>
        <v>142949.59999999998</v>
      </c>
      <c r="F79" s="58">
        <f>SUM(F80:F82)</f>
        <v>120390.99999999999</v>
      </c>
      <c r="G79" s="58">
        <f>SUM(G80:G82)</f>
        <v>123404.19999999998</v>
      </c>
    </row>
    <row r="80" spans="1:7" ht="60" x14ac:dyDescent="0.25">
      <c r="A80" s="1" t="s">
        <v>14</v>
      </c>
      <c r="B80" s="15" t="s">
        <v>26</v>
      </c>
      <c r="C80" s="16" t="s">
        <v>52</v>
      </c>
      <c r="D80" s="17">
        <v>100</v>
      </c>
      <c r="E80" s="120">
        <f>66633+10308.9+3757.8-319.6</f>
        <v>80380.099999999991</v>
      </c>
      <c r="F80" s="120">
        <v>67957.899999999994</v>
      </c>
      <c r="G80" s="120">
        <v>70543.899999999994</v>
      </c>
    </row>
    <row r="81" spans="1:7" ht="30" x14ac:dyDescent="0.25">
      <c r="A81" s="1" t="s">
        <v>21</v>
      </c>
      <c r="B81" s="15" t="s">
        <v>26</v>
      </c>
      <c r="C81" s="16" t="s">
        <v>52</v>
      </c>
      <c r="D81" s="17">
        <v>200</v>
      </c>
      <c r="E81" s="120">
        <f>65688.1+188.2+3923.9+394.8-11722+1677.2-40-1486.6</f>
        <v>58623.6</v>
      </c>
      <c r="F81" s="120">
        <v>49089.2</v>
      </c>
      <c r="G81" s="120">
        <v>49516.4</v>
      </c>
    </row>
    <row r="82" spans="1:7" x14ac:dyDescent="0.25">
      <c r="A82" s="60" t="s">
        <v>22</v>
      </c>
      <c r="B82" s="15" t="s">
        <v>26</v>
      </c>
      <c r="C82" s="16" t="s">
        <v>52</v>
      </c>
      <c r="D82" s="17">
        <v>800</v>
      </c>
      <c r="E82" s="120">
        <f>3343.9+629.9-27.9</f>
        <v>3945.9</v>
      </c>
      <c r="F82" s="120">
        <v>3343.9</v>
      </c>
      <c r="G82" s="120">
        <v>3343.9</v>
      </c>
    </row>
    <row r="83" spans="1:7" s="155" customFormat="1" x14ac:dyDescent="0.25">
      <c r="A83" s="65" t="s">
        <v>208</v>
      </c>
      <c r="B83" s="15" t="s">
        <v>26</v>
      </c>
      <c r="C83" s="16" t="s">
        <v>209</v>
      </c>
      <c r="D83" s="17"/>
      <c r="E83" s="120">
        <f>E84</f>
        <v>164.3</v>
      </c>
      <c r="F83" s="120">
        <f t="shared" ref="F83:G83" si="12">F84</f>
        <v>0</v>
      </c>
      <c r="G83" s="120">
        <f t="shared" si="12"/>
        <v>0</v>
      </c>
    </row>
    <row r="84" spans="1:7" s="155" customFormat="1" ht="30" x14ac:dyDescent="0.25">
      <c r="A84" s="65" t="s">
        <v>56</v>
      </c>
      <c r="B84" s="15" t="s">
        <v>26</v>
      </c>
      <c r="C84" s="16" t="s">
        <v>209</v>
      </c>
      <c r="D84" s="17">
        <v>600</v>
      </c>
      <c r="E84" s="120">
        <v>164.3</v>
      </c>
      <c r="F84" s="120">
        <v>0</v>
      </c>
      <c r="G84" s="120">
        <v>0</v>
      </c>
    </row>
    <row r="85" spans="1:7" x14ac:dyDescent="0.25">
      <c r="A85" s="1" t="s">
        <v>53</v>
      </c>
      <c r="B85" s="15" t="s">
        <v>26</v>
      </c>
      <c r="C85" s="16" t="s">
        <v>54</v>
      </c>
      <c r="D85" s="17"/>
      <c r="E85" s="58">
        <f>E87+E86</f>
        <v>51372.600000000006</v>
      </c>
      <c r="F85" s="58">
        <f t="shared" ref="F85:G85" si="13">F87+F86</f>
        <v>4118.5000000000036</v>
      </c>
      <c r="G85" s="58">
        <f t="shared" si="13"/>
        <v>1941.1000000000022</v>
      </c>
    </row>
    <row r="86" spans="1:7" ht="30" x14ac:dyDescent="0.25">
      <c r="A86" s="157" t="s">
        <v>705</v>
      </c>
      <c r="B86" s="15" t="s">
        <v>26</v>
      </c>
      <c r="C86" s="144" t="s">
        <v>54</v>
      </c>
      <c r="D86" s="17">
        <v>400</v>
      </c>
      <c r="E86" s="58">
        <v>1267.9000000000001</v>
      </c>
      <c r="F86" s="58">
        <v>0</v>
      </c>
      <c r="G86" s="58">
        <v>0</v>
      </c>
    </row>
    <row r="87" spans="1:7" x14ac:dyDescent="0.25">
      <c r="A87" s="60" t="s">
        <v>22</v>
      </c>
      <c r="B87" s="15" t="s">
        <v>26</v>
      </c>
      <c r="C87" s="16" t="s">
        <v>54</v>
      </c>
      <c r="D87" s="17">
        <v>800</v>
      </c>
      <c r="E87" s="120">
        <f>12675+262.9+1595.3-2212.5+3187.7-2584.8+200343.9-159309.9-6690+50.3+3396.2-1267.9+230.3+14.7+104.9+225.3+17.7+237-171.5+0.1</f>
        <v>50104.700000000004</v>
      </c>
      <c r="F87" s="120">
        <f>20088.4+262.9-71.6+3170.8-19332</f>
        <v>4118.5000000000036</v>
      </c>
      <c r="G87" s="120">
        <f>16920.1-0.3+262.9-143.2+4128.9-19227.3</f>
        <v>1941.1000000000022</v>
      </c>
    </row>
    <row r="88" spans="1:7" x14ac:dyDescent="0.25">
      <c r="A88" s="114" t="s">
        <v>586</v>
      </c>
      <c r="B88" s="15" t="s">
        <v>26</v>
      </c>
      <c r="C88" s="16" t="s">
        <v>588</v>
      </c>
      <c r="D88" s="17"/>
      <c r="E88" s="120">
        <f>E89+E90</f>
        <v>893</v>
      </c>
      <c r="F88" s="120">
        <f t="shared" ref="F88:G88" si="14">F89+F90</f>
        <v>0</v>
      </c>
      <c r="G88" s="120">
        <f t="shared" si="14"/>
        <v>0</v>
      </c>
    </row>
    <row r="89" spans="1:7" ht="30" x14ac:dyDescent="0.25">
      <c r="A89" s="65" t="s">
        <v>21</v>
      </c>
      <c r="B89" s="15" t="s">
        <v>26</v>
      </c>
      <c r="C89" s="16" t="s">
        <v>588</v>
      </c>
      <c r="D89" s="17">
        <v>200</v>
      </c>
      <c r="E89" s="120">
        <f>500+90</f>
        <v>590</v>
      </c>
      <c r="F89" s="120">
        <v>0</v>
      </c>
      <c r="G89" s="120">
        <v>0</v>
      </c>
    </row>
    <row r="90" spans="1:7" x14ac:dyDescent="0.25">
      <c r="A90" s="114" t="s">
        <v>22</v>
      </c>
      <c r="B90" s="15" t="s">
        <v>26</v>
      </c>
      <c r="C90" s="16" t="s">
        <v>588</v>
      </c>
      <c r="D90" s="17">
        <v>800</v>
      </c>
      <c r="E90" s="120">
        <f>500-197</f>
        <v>303</v>
      </c>
      <c r="F90" s="120">
        <v>0</v>
      </c>
      <c r="G90" s="120">
        <v>0</v>
      </c>
    </row>
    <row r="91" spans="1:7" x14ac:dyDescent="0.25">
      <c r="A91" s="114" t="s">
        <v>587</v>
      </c>
      <c r="B91" s="15" t="s">
        <v>26</v>
      </c>
      <c r="C91" s="16" t="s">
        <v>589</v>
      </c>
      <c r="D91" s="122"/>
      <c r="E91" s="120">
        <f>E92</f>
        <v>50</v>
      </c>
      <c r="F91" s="120">
        <f t="shared" ref="F91:G91" si="15">F92</f>
        <v>0</v>
      </c>
      <c r="G91" s="120">
        <f t="shared" si="15"/>
        <v>0</v>
      </c>
    </row>
    <row r="92" spans="1:7" x14ac:dyDescent="0.25">
      <c r="A92" s="114" t="s">
        <v>22</v>
      </c>
      <c r="B92" s="15" t="s">
        <v>26</v>
      </c>
      <c r="C92" s="16" t="s">
        <v>589</v>
      </c>
      <c r="D92" s="122" t="s">
        <v>590</v>
      </c>
      <c r="E92" s="120">
        <v>50</v>
      </c>
      <c r="F92" s="120">
        <v>0</v>
      </c>
      <c r="G92" s="120">
        <v>0</v>
      </c>
    </row>
    <row r="93" spans="1:7" ht="30" x14ac:dyDescent="0.25">
      <c r="A93" s="1" t="s">
        <v>27</v>
      </c>
      <c r="B93" s="15" t="s">
        <v>26</v>
      </c>
      <c r="C93" s="16" t="s">
        <v>28</v>
      </c>
      <c r="D93" s="17"/>
      <c r="E93" s="58">
        <f>E94</f>
        <v>1034.8</v>
      </c>
      <c r="F93" s="58">
        <f>F94</f>
        <v>574.9</v>
      </c>
      <c r="G93" s="58">
        <f>G94</f>
        <v>574.9</v>
      </c>
    </row>
    <row r="94" spans="1:7" x14ac:dyDescent="0.25">
      <c r="A94" s="1" t="s">
        <v>29</v>
      </c>
      <c r="B94" s="15" t="s">
        <v>26</v>
      </c>
      <c r="C94" s="16" t="s">
        <v>28</v>
      </c>
      <c r="D94" s="17">
        <v>300</v>
      </c>
      <c r="E94" s="120">
        <f>287.5+287.4+230+114.9+114.9+0.1</f>
        <v>1034.8</v>
      </c>
      <c r="F94" s="120">
        <f t="shared" ref="F94:G94" si="16">287.5+287.4</f>
        <v>574.9</v>
      </c>
      <c r="G94" s="120">
        <f t="shared" si="16"/>
        <v>574.9</v>
      </c>
    </row>
    <row r="95" spans="1:7" ht="45" x14ac:dyDescent="0.25">
      <c r="A95" s="88" t="s">
        <v>623</v>
      </c>
      <c r="B95" s="15" t="s">
        <v>26</v>
      </c>
      <c r="C95" s="16" t="s">
        <v>624</v>
      </c>
      <c r="D95" s="122"/>
      <c r="E95" s="120">
        <f>E96+E97</f>
        <v>159309.9</v>
      </c>
      <c r="F95" s="120"/>
      <c r="G95" s="120"/>
    </row>
    <row r="96" spans="1:7" ht="30" x14ac:dyDescent="0.25">
      <c r="A96" s="157" t="s">
        <v>705</v>
      </c>
      <c r="B96" s="15" t="s">
        <v>26</v>
      </c>
      <c r="C96" s="16" t="s">
        <v>624</v>
      </c>
      <c r="D96" s="122" t="s">
        <v>374</v>
      </c>
      <c r="E96" s="120">
        <v>145097</v>
      </c>
      <c r="F96" s="120"/>
      <c r="G96" s="120"/>
    </row>
    <row r="97" spans="1:7" x14ac:dyDescent="0.25">
      <c r="A97" s="114" t="s">
        <v>22</v>
      </c>
      <c r="B97" s="15" t="s">
        <v>26</v>
      </c>
      <c r="C97" s="16" t="s">
        <v>624</v>
      </c>
      <c r="D97" s="122" t="s">
        <v>590</v>
      </c>
      <c r="E97" s="120">
        <v>14212.9</v>
      </c>
      <c r="F97" s="120"/>
      <c r="G97" s="120"/>
    </row>
    <row r="98" spans="1:7" ht="30" x14ac:dyDescent="0.25">
      <c r="A98" s="74" t="s">
        <v>447</v>
      </c>
      <c r="B98" s="21" t="s">
        <v>26</v>
      </c>
      <c r="C98" s="21" t="s">
        <v>217</v>
      </c>
      <c r="D98" s="22"/>
      <c r="E98" s="58">
        <f>SUM(E99)</f>
        <v>27493.500000000004</v>
      </c>
      <c r="F98" s="58">
        <f t="shared" ref="F98:G100" si="17">SUM(F99)</f>
        <v>23682.899999999998</v>
      </c>
      <c r="G98" s="58">
        <f t="shared" si="17"/>
        <v>24297.3</v>
      </c>
    </row>
    <row r="99" spans="1:7" ht="45" x14ac:dyDescent="0.25">
      <c r="A99" s="74" t="s">
        <v>448</v>
      </c>
      <c r="B99" s="21" t="s">
        <v>26</v>
      </c>
      <c r="C99" s="21" t="s">
        <v>357</v>
      </c>
      <c r="D99" s="22"/>
      <c r="E99" s="58">
        <f>SUM(E100)</f>
        <v>27493.500000000004</v>
      </c>
      <c r="F99" s="58">
        <f t="shared" si="17"/>
        <v>23682.899999999998</v>
      </c>
      <c r="G99" s="58">
        <f t="shared" si="17"/>
        <v>24297.3</v>
      </c>
    </row>
    <row r="100" spans="1:7" ht="45" x14ac:dyDescent="0.25">
      <c r="A100" s="74" t="s">
        <v>358</v>
      </c>
      <c r="B100" s="21" t="s">
        <v>26</v>
      </c>
      <c r="C100" s="21" t="s">
        <v>359</v>
      </c>
      <c r="D100" s="22"/>
      <c r="E100" s="58">
        <f>SUM(E101)</f>
        <v>27493.500000000004</v>
      </c>
      <c r="F100" s="58">
        <f t="shared" si="17"/>
        <v>23682.899999999998</v>
      </c>
      <c r="G100" s="58">
        <f t="shared" si="17"/>
        <v>24297.3</v>
      </c>
    </row>
    <row r="101" spans="1:7" ht="30" x14ac:dyDescent="0.25">
      <c r="A101" s="23" t="s">
        <v>55</v>
      </c>
      <c r="B101" s="21" t="s">
        <v>26</v>
      </c>
      <c r="C101" s="21" t="s">
        <v>347</v>
      </c>
      <c r="D101" s="22"/>
      <c r="E101" s="58">
        <f>SUM(E102:E104)</f>
        <v>27493.500000000004</v>
      </c>
      <c r="F101" s="58">
        <f t="shared" ref="F101:G101" si="18">SUM(F102:F104)</f>
        <v>23682.899999999998</v>
      </c>
      <c r="G101" s="58">
        <f t="shared" si="18"/>
        <v>24297.3</v>
      </c>
    </row>
    <row r="102" spans="1:7" ht="60" x14ac:dyDescent="0.25">
      <c r="A102" s="23" t="s">
        <v>348</v>
      </c>
      <c r="B102" s="21" t="s">
        <v>26</v>
      </c>
      <c r="C102" s="21" t="s">
        <v>347</v>
      </c>
      <c r="D102" s="22">
        <v>100</v>
      </c>
      <c r="E102" s="120">
        <f>21926.4+4174.7-0.1</f>
        <v>26101.000000000004</v>
      </c>
      <c r="F102" s="120">
        <v>22815.8</v>
      </c>
      <c r="G102" s="120">
        <v>23728.5</v>
      </c>
    </row>
    <row r="103" spans="1:7" ht="30" x14ac:dyDescent="0.25">
      <c r="A103" s="23" t="s">
        <v>381</v>
      </c>
      <c r="B103" s="21" t="s">
        <v>26</v>
      </c>
      <c r="C103" s="21" t="s">
        <v>347</v>
      </c>
      <c r="D103" s="22">
        <v>200</v>
      </c>
      <c r="E103" s="120">
        <f>910.4+437.5</f>
        <v>1347.9</v>
      </c>
      <c r="F103" s="120">
        <v>867.1</v>
      </c>
      <c r="G103" s="120">
        <v>568.79999999999995</v>
      </c>
    </row>
    <row r="104" spans="1:7" x14ac:dyDescent="0.25">
      <c r="A104" s="82" t="s">
        <v>22</v>
      </c>
      <c r="B104" s="86" t="s">
        <v>26</v>
      </c>
      <c r="C104" s="86" t="s">
        <v>347</v>
      </c>
      <c r="D104" s="87">
        <v>800</v>
      </c>
      <c r="E104" s="120">
        <v>44.6</v>
      </c>
      <c r="F104" s="120"/>
      <c r="G104" s="120"/>
    </row>
    <row r="105" spans="1:7" ht="44.25" customHeight="1" x14ac:dyDescent="0.25">
      <c r="A105" s="74" t="s">
        <v>449</v>
      </c>
      <c r="B105" s="76" t="s">
        <v>26</v>
      </c>
      <c r="C105" s="76" t="s">
        <v>93</v>
      </c>
      <c r="D105" s="22"/>
      <c r="E105" s="58">
        <f>SUM(E106)</f>
        <v>227.4</v>
      </c>
      <c r="F105" s="58">
        <f t="shared" ref="F105:G108" si="19">SUM(F106)</f>
        <v>278.5</v>
      </c>
      <c r="G105" s="58">
        <f t="shared" si="19"/>
        <v>170.3</v>
      </c>
    </row>
    <row r="106" spans="1:7" ht="30" x14ac:dyDescent="0.25">
      <c r="A106" s="114" t="s">
        <v>349</v>
      </c>
      <c r="B106" s="76" t="s">
        <v>26</v>
      </c>
      <c r="C106" s="76" t="s">
        <v>350</v>
      </c>
      <c r="D106" s="22"/>
      <c r="E106" s="58">
        <f>SUM(E107)</f>
        <v>227.4</v>
      </c>
      <c r="F106" s="58">
        <f t="shared" si="19"/>
        <v>278.5</v>
      </c>
      <c r="G106" s="58">
        <f t="shared" si="19"/>
        <v>170.3</v>
      </c>
    </row>
    <row r="107" spans="1:7" ht="30" x14ac:dyDescent="0.25">
      <c r="A107" s="114" t="s">
        <v>351</v>
      </c>
      <c r="B107" s="76" t="s">
        <v>26</v>
      </c>
      <c r="C107" s="76" t="s">
        <v>352</v>
      </c>
      <c r="D107" s="22"/>
      <c r="E107" s="58">
        <f>SUM(E108)</f>
        <v>227.4</v>
      </c>
      <c r="F107" s="58">
        <f t="shared" si="19"/>
        <v>278.5</v>
      </c>
      <c r="G107" s="58">
        <f t="shared" si="19"/>
        <v>170.3</v>
      </c>
    </row>
    <row r="108" spans="1:7" ht="30" x14ac:dyDescent="0.25">
      <c r="A108" s="114" t="s">
        <v>353</v>
      </c>
      <c r="B108" s="76" t="s">
        <v>26</v>
      </c>
      <c r="C108" s="76" t="s">
        <v>354</v>
      </c>
      <c r="D108" s="22"/>
      <c r="E108" s="58">
        <f>SUM(E109)</f>
        <v>227.4</v>
      </c>
      <c r="F108" s="58">
        <f t="shared" si="19"/>
        <v>278.5</v>
      </c>
      <c r="G108" s="58">
        <f t="shared" si="19"/>
        <v>170.3</v>
      </c>
    </row>
    <row r="109" spans="1:7" ht="30" x14ac:dyDescent="0.25">
      <c r="A109" s="77" t="s">
        <v>21</v>
      </c>
      <c r="B109" s="76" t="s">
        <v>26</v>
      </c>
      <c r="C109" s="76" t="s">
        <v>354</v>
      </c>
      <c r="D109" s="22">
        <v>200</v>
      </c>
      <c r="E109" s="120">
        <f>278.5-51.1</f>
        <v>227.4</v>
      </c>
      <c r="F109" s="120">
        <v>278.5</v>
      </c>
      <c r="G109" s="120">
        <v>170.3</v>
      </c>
    </row>
    <row r="110" spans="1:7" x14ac:dyDescent="0.25">
      <c r="A110" s="9" t="s">
        <v>57</v>
      </c>
      <c r="B110" s="10" t="s">
        <v>58</v>
      </c>
      <c r="C110" s="14"/>
      <c r="D110" s="11"/>
      <c r="E110" s="12">
        <f t="shared" ref="E110:G111" si="20">E111</f>
        <v>1496.3000000000002</v>
      </c>
      <c r="F110" s="12">
        <f t="shared" si="20"/>
        <v>927.4</v>
      </c>
      <c r="G110" s="12">
        <f t="shared" si="20"/>
        <v>254.2</v>
      </c>
    </row>
    <row r="111" spans="1:7" x14ac:dyDescent="0.25">
      <c r="A111" s="9" t="s">
        <v>59</v>
      </c>
      <c r="B111" s="10" t="s">
        <v>60</v>
      </c>
      <c r="C111" s="14"/>
      <c r="D111" s="11"/>
      <c r="E111" s="12">
        <f>E112</f>
        <v>1496.3000000000002</v>
      </c>
      <c r="F111" s="12">
        <f t="shared" si="20"/>
        <v>927.4</v>
      </c>
      <c r="G111" s="12">
        <f t="shared" si="20"/>
        <v>254.2</v>
      </c>
    </row>
    <row r="112" spans="1:7" s="13" customFormat="1" x14ac:dyDescent="0.25">
      <c r="A112" s="1" t="s">
        <v>10</v>
      </c>
      <c r="B112" s="15" t="s">
        <v>60</v>
      </c>
      <c r="C112" s="16" t="s">
        <v>11</v>
      </c>
      <c r="D112" s="17"/>
      <c r="E112" s="58">
        <f>SUM(E113+E115)</f>
        <v>1496.3000000000002</v>
      </c>
      <c r="F112" s="58">
        <f>SUM(F113+F115)</f>
        <v>927.4</v>
      </c>
      <c r="G112" s="58">
        <f>SUM(G113+G115)</f>
        <v>254.2</v>
      </c>
    </row>
    <row r="113" spans="1:7" x14ac:dyDescent="0.25">
      <c r="A113" s="1" t="s">
        <v>61</v>
      </c>
      <c r="B113" s="15" t="s">
        <v>60</v>
      </c>
      <c r="C113" s="16" t="s">
        <v>62</v>
      </c>
      <c r="D113" s="17"/>
      <c r="E113" s="58">
        <f>E114</f>
        <v>1374.6000000000001</v>
      </c>
      <c r="F113" s="58">
        <f>F114</f>
        <v>0</v>
      </c>
      <c r="G113" s="58">
        <f>G114</f>
        <v>0</v>
      </c>
    </row>
    <row r="114" spans="1:7" ht="30" x14ac:dyDescent="0.25">
      <c r="A114" s="1" t="s">
        <v>21</v>
      </c>
      <c r="B114" s="15" t="s">
        <v>60</v>
      </c>
      <c r="C114" s="16" t="s">
        <v>62</v>
      </c>
      <c r="D114" s="17">
        <v>200</v>
      </c>
      <c r="E114" s="120">
        <f>1435-60.1-0.3</f>
        <v>1374.6000000000001</v>
      </c>
      <c r="F114" s="59">
        <v>0</v>
      </c>
      <c r="G114" s="20">
        <v>0</v>
      </c>
    </row>
    <row r="115" spans="1:7" x14ac:dyDescent="0.25">
      <c r="A115" s="1" t="s">
        <v>63</v>
      </c>
      <c r="B115" s="15" t="s">
        <v>60</v>
      </c>
      <c r="C115" s="16" t="s">
        <v>64</v>
      </c>
      <c r="D115" s="17"/>
      <c r="E115" s="58">
        <f>E117+E118+E116</f>
        <v>121.69999999999999</v>
      </c>
      <c r="F115" s="58">
        <f t="shared" ref="F115:G115" si="21">F117+F118+F116</f>
        <v>927.4</v>
      </c>
      <c r="G115" s="58">
        <f t="shared" si="21"/>
        <v>254.2</v>
      </c>
    </row>
    <row r="116" spans="1:7" ht="60" x14ac:dyDescent="0.25">
      <c r="A116" s="65" t="s">
        <v>14</v>
      </c>
      <c r="B116" s="15" t="s">
        <v>60</v>
      </c>
      <c r="C116" s="16" t="s">
        <v>64</v>
      </c>
      <c r="D116" s="17">
        <v>100</v>
      </c>
      <c r="E116" s="58">
        <f>110.6-30.5-0.1</f>
        <v>80</v>
      </c>
      <c r="F116" s="58">
        <v>0</v>
      </c>
      <c r="G116" s="58">
        <v>0</v>
      </c>
    </row>
    <row r="117" spans="1:7" ht="30" x14ac:dyDescent="0.25">
      <c r="A117" s="1" t="s">
        <v>21</v>
      </c>
      <c r="B117" s="15" t="s">
        <v>60</v>
      </c>
      <c r="C117" s="16" t="s">
        <v>64</v>
      </c>
      <c r="D117" s="17">
        <v>200</v>
      </c>
      <c r="E117" s="120">
        <f>425-110.6-282.7</f>
        <v>31.699999999999989</v>
      </c>
      <c r="F117" s="120">
        <v>917.4</v>
      </c>
      <c r="G117" s="120">
        <v>244.2</v>
      </c>
    </row>
    <row r="118" spans="1:7" x14ac:dyDescent="0.25">
      <c r="A118" s="1" t="s">
        <v>29</v>
      </c>
      <c r="B118" s="15" t="s">
        <v>60</v>
      </c>
      <c r="C118" s="16" t="s">
        <v>64</v>
      </c>
      <c r="D118" s="17">
        <v>300</v>
      </c>
      <c r="E118" s="120">
        <v>10</v>
      </c>
      <c r="F118" s="120">
        <v>10</v>
      </c>
      <c r="G118" s="120">
        <v>10</v>
      </c>
    </row>
    <row r="119" spans="1:7" x14ac:dyDescent="0.25">
      <c r="A119" s="9" t="s">
        <v>238</v>
      </c>
      <c r="B119" s="10" t="s">
        <v>239</v>
      </c>
      <c r="C119" s="14"/>
      <c r="D119" s="11"/>
      <c r="E119" s="12">
        <f t="shared" ref="E119:G119" si="22">SUM(E120)</f>
        <v>134097.20000000001</v>
      </c>
      <c r="F119" s="12">
        <f t="shared" si="22"/>
        <v>92540.6</v>
      </c>
      <c r="G119" s="12">
        <f t="shared" si="22"/>
        <v>94835.6</v>
      </c>
    </row>
    <row r="120" spans="1:7" ht="28.5" customHeight="1" x14ac:dyDescent="0.25">
      <c r="A120" s="78" t="s">
        <v>240</v>
      </c>
      <c r="B120" s="10" t="s">
        <v>241</v>
      </c>
      <c r="C120" s="14"/>
      <c r="D120" s="11"/>
      <c r="E120" s="12">
        <f>SUM(E126)+E121</f>
        <v>134097.20000000001</v>
      </c>
      <c r="F120" s="12">
        <f t="shared" ref="F120:G120" si="23">SUM(F126)+F121</f>
        <v>92540.6</v>
      </c>
      <c r="G120" s="12">
        <f t="shared" si="23"/>
        <v>94835.6</v>
      </c>
    </row>
    <row r="121" spans="1:7" s="155" customFormat="1" x14ac:dyDescent="0.25">
      <c r="A121" s="65" t="s">
        <v>10</v>
      </c>
      <c r="B121" s="15" t="s">
        <v>241</v>
      </c>
      <c r="C121" s="144" t="s">
        <v>11</v>
      </c>
      <c r="D121" s="17"/>
      <c r="E121" s="58">
        <f>E122+E124</f>
        <v>2051.6999999999998</v>
      </c>
      <c r="F121" s="58">
        <f t="shared" ref="F121:G121" si="24">F122+F124</f>
        <v>0</v>
      </c>
      <c r="G121" s="58">
        <f t="shared" si="24"/>
        <v>0</v>
      </c>
    </row>
    <row r="122" spans="1:7" s="155" customFormat="1" x14ac:dyDescent="0.25">
      <c r="A122" s="65" t="s">
        <v>208</v>
      </c>
      <c r="B122" s="15" t="s">
        <v>241</v>
      </c>
      <c r="C122" s="144" t="s">
        <v>209</v>
      </c>
      <c r="D122" s="17"/>
      <c r="E122" s="58">
        <f>E123</f>
        <v>1926.6</v>
      </c>
      <c r="F122" s="58">
        <f t="shared" ref="F122:G122" si="25">F123</f>
        <v>0</v>
      </c>
      <c r="G122" s="58">
        <f t="shared" si="25"/>
        <v>0</v>
      </c>
    </row>
    <row r="123" spans="1:7" s="155" customFormat="1" ht="30" x14ac:dyDescent="0.25">
      <c r="A123" s="65" t="s">
        <v>21</v>
      </c>
      <c r="B123" s="15" t="s">
        <v>241</v>
      </c>
      <c r="C123" s="144" t="s">
        <v>209</v>
      </c>
      <c r="D123" s="17">
        <v>200</v>
      </c>
      <c r="E123" s="58">
        <v>1926.6</v>
      </c>
      <c r="F123" s="58">
        <v>0</v>
      </c>
      <c r="G123" s="58">
        <v>0</v>
      </c>
    </row>
    <row r="124" spans="1:7" s="155" customFormat="1" ht="60" x14ac:dyDescent="0.25">
      <c r="A124" s="65" t="s">
        <v>712</v>
      </c>
      <c r="B124" s="15" t="s">
        <v>241</v>
      </c>
      <c r="C124" s="144" t="s">
        <v>713</v>
      </c>
      <c r="D124" s="17"/>
      <c r="E124" s="58">
        <f>E125</f>
        <v>125.1</v>
      </c>
      <c r="F124" s="58">
        <f t="shared" ref="F124:G124" si="26">F125</f>
        <v>0</v>
      </c>
      <c r="G124" s="58">
        <f t="shared" si="26"/>
        <v>0</v>
      </c>
    </row>
    <row r="125" spans="1:7" s="155" customFormat="1" x14ac:dyDescent="0.25">
      <c r="A125" s="114" t="s">
        <v>22</v>
      </c>
      <c r="B125" s="15" t="s">
        <v>241</v>
      </c>
      <c r="C125" s="144" t="s">
        <v>713</v>
      </c>
      <c r="D125" s="17">
        <v>800</v>
      </c>
      <c r="E125" s="58">
        <v>125.1</v>
      </c>
      <c r="F125" s="58">
        <v>0</v>
      </c>
      <c r="G125" s="58">
        <v>0</v>
      </c>
    </row>
    <row r="126" spans="1:7" ht="30" x14ac:dyDescent="0.25">
      <c r="A126" s="72" t="s">
        <v>432</v>
      </c>
      <c r="B126" s="15" t="s">
        <v>241</v>
      </c>
      <c r="C126" s="16" t="s">
        <v>69</v>
      </c>
      <c r="D126" s="17"/>
      <c r="E126" s="58">
        <f>SUM(E127+E135+E143+E148)</f>
        <v>132045.5</v>
      </c>
      <c r="F126" s="58">
        <f>SUM(F127+F135+F143+F148)</f>
        <v>92540.6</v>
      </c>
      <c r="G126" s="58">
        <f>SUM(G127+G135+G143+G148)</f>
        <v>94835.6</v>
      </c>
    </row>
    <row r="127" spans="1:7" ht="30" x14ac:dyDescent="0.25">
      <c r="A127" s="61" t="s">
        <v>242</v>
      </c>
      <c r="B127" s="15" t="s">
        <v>241</v>
      </c>
      <c r="C127" s="16" t="s">
        <v>243</v>
      </c>
      <c r="D127" s="17"/>
      <c r="E127" s="58">
        <f>SUM(E128)</f>
        <v>56464.9</v>
      </c>
      <c r="F127" s="58">
        <f>SUM(F128)</f>
        <v>30735.200000000001</v>
      </c>
      <c r="G127" s="58">
        <f>SUM(G128)</f>
        <v>30735.200000000001</v>
      </c>
    </row>
    <row r="128" spans="1:7" ht="30" x14ac:dyDescent="0.25">
      <c r="A128" s="72" t="s">
        <v>244</v>
      </c>
      <c r="B128" s="15" t="s">
        <v>241</v>
      </c>
      <c r="C128" s="16" t="s">
        <v>245</v>
      </c>
      <c r="D128" s="17"/>
      <c r="E128" s="58">
        <f>SUM(E131+E129)+E133</f>
        <v>56464.9</v>
      </c>
      <c r="F128" s="58">
        <f t="shared" ref="F128:G128" si="27">SUM(F131+F129)+F133</f>
        <v>30735.200000000001</v>
      </c>
      <c r="G128" s="58">
        <f t="shared" si="27"/>
        <v>30735.200000000001</v>
      </c>
    </row>
    <row r="129" spans="1:7" ht="45" x14ac:dyDescent="0.25">
      <c r="A129" s="121" t="s">
        <v>620</v>
      </c>
      <c r="B129" s="15" t="s">
        <v>241</v>
      </c>
      <c r="C129" s="16" t="s">
        <v>512</v>
      </c>
      <c r="D129" s="17"/>
      <c r="E129" s="120">
        <f>SUM(E130)</f>
        <v>0</v>
      </c>
      <c r="F129" s="120">
        <f t="shared" ref="F129:G129" si="28">SUM(F130)</f>
        <v>0</v>
      </c>
      <c r="G129" s="120">
        <f t="shared" si="28"/>
        <v>0</v>
      </c>
    </row>
    <row r="130" spans="1:7" ht="30" x14ac:dyDescent="0.25">
      <c r="A130" s="65" t="s">
        <v>21</v>
      </c>
      <c r="B130" s="15" t="s">
        <v>241</v>
      </c>
      <c r="C130" s="16" t="s">
        <v>512</v>
      </c>
      <c r="D130" s="17">
        <v>200</v>
      </c>
      <c r="E130" s="120">
        <f>9500-17.1-1267-8215.9</f>
        <v>0</v>
      </c>
      <c r="F130" s="58">
        <v>0</v>
      </c>
      <c r="G130" s="58">
        <v>0</v>
      </c>
    </row>
    <row r="131" spans="1:7" s="13" customFormat="1" ht="66.75" customHeight="1" x14ac:dyDescent="0.25">
      <c r="A131" s="72" t="s">
        <v>621</v>
      </c>
      <c r="B131" s="15" t="s">
        <v>241</v>
      </c>
      <c r="C131" s="16" t="s">
        <v>513</v>
      </c>
      <c r="D131" s="17"/>
      <c r="E131" s="58">
        <f>E132</f>
        <v>36212.800000000003</v>
      </c>
      <c r="F131" s="58">
        <f>F132</f>
        <v>30735.200000000001</v>
      </c>
      <c r="G131" s="58">
        <f>G132</f>
        <v>30735.200000000001</v>
      </c>
    </row>
    <row r="132" spans="1:7" s="13" customFormat="1" ht="40.5" customHeight="1" x14ac:dyDescent="0.25">
      <c r="A132" s="1" t="s">
        <v>21</v>
      </c>
      <c r="B132" s="15" t="s">
        <v>241</v>
      </c>
      <c r="C132" s="16" t="s">
        <v>513</v>
      </c>
      <c r="D132" s="17">
        <v>200</v>
      </c>
      <c r="E132" s="120">
        <f>30735.2-15.9+4910+583.5</f>
        <v>36212.800000000003</v>
      </c>
      <c r="F132" s="120">
        <v>30735.200000000001</v>
      </c>
      <c r="G132" s="120">
        <v>30735.200000000001</v>
      </c>
    </row>
    <row r="133" spans="1:7" s="13" customFormat="1" ht="30" x14ac:dyDescent="0.25">
      <c r="A133" s="65" t="s">
        <v>540</v>
      </c>
      <c r="B133" s="15" t="s">
        <v>241</v>
      </c>
      <c r="C133" s="16" t="s">
        <v>541</v>
      </c>
      <c r="D133" s="17"/>
      <c r="E133" s="120">
        <f>E134</f>
        <v>20252.099999999999</v>
      </c>
      <c r="F133" s="120">
        <f t="shared" ref="F133:G133" si="29">F134</f>
        <v>0</v>
      </c>
      <c r="G133" s="120">
        <f t="shared" si="29"/>
        <v>0</v>
      </c>
    </row>
    <row r="134" spans="1:7" s="13" customFormat="1" ht="30" x14ac:dyDescent="0.25">
      <c r="A134" s="65" t="s">
        <v>21</v>
      </c>
      <c r="B134" s="15" t="s">
        <v>241</v>
      </c>
      <c r="C134" s="16" t="s">
        <v>541</v>
      </c>
      <c r="D134" s="17">
        <v>200</v>
      </c>
      <c r="E134" s="120">
        <f>367.1+33+1267+18585</f>
        <v>20252.099999999999</v>
      </c>
      <c r="F134" s="120">
        <f>356.3-356.3</f>
        <v>0</v>
      </c>
      <c r="G134" s="120">
        <f>356.3-356.3</f>
        <v>0</v>
      </c>
    </row>
    <row r="135" spans="1:7" ht="30" x14ac:dyDescent="0.25">
      <c r="A135" s="65" t="s">
        <v>246</v>
      </c>
      <c r="B135" s="15" t="s">
        <v>241</v>
      </c>
      <c r="C135" s="16" t="s">
        <v>247</v>
      </c>
      <c r="D135" s="17"/>
      <c r="E135" s="58">
        <f>SUM(E136)</f>
        <v>6333.2000000000007</v>
      </c>
      <c r="F135" s="58">
        <f>SUM(F136)</f>
        <v>2605.4</v>
      </c>
      <c r="G135" s="58">
        <f>SUM(G136)</f>
        <v>2703.4</v>
      </c>
    </row>
    <row r="136" spans="1:7" ht="30" x14ac:dyDescent="0.25">
      <c r="A136" s="65" t="s">
        <v>248</v>
      </c>
      <c r="B136" s="15" t="s">
        <v>241</v>
      </c>
      <c r="C136" s="16" t="s">
        <v>249</v>
      </c>
      <c r="D136" s="17"/>
      <c r="E136" s="58">
        <f>SUM(E137+E141+E139)</f>
        <v>6333.2000000000007</v>
      </c>
      <c r="F136" s="58">
        <f t="shared" ref="F136" si="30">SUM(F137+F141+F139)</f>
        <v>2605.4</v>
      </c>
      <c r="G136" s="58">
        <f>SUM(G137+G141+G139)</f>
        <v>2703.4</v>
      </c>
    </row>
    <row r="137" spans="1:7" ht="30" x14ac:dyDescent="0.25">
      <c r="A137" s="65" t="s">
        <v>250</v>
      </c>
      <c r="B137" s="19" t="s">
        <v>241</v>
      </c>
      <c r="C137" s="73" t="s">
        <v>251</v>
      </c>
      <c r="D137" s="19"/>
      <c r="E137" s="58">
        <f>E138</f>
        <v>99.4</v>
      </c>
      <c r="F137" s="58">
        <f>F138</f>
        <v>155.30000000000001</v>
      </c>
      <c r="G137" s="58">
        <f>G138</f>
        <v>155.30000000000001</v>
      </c>
    </row>
    <row r="138" spans="1:7" ht="30" x14ac:dyDescent="0.25">
      <c r="A138" s="1" t="s">
        <v>21</v>
      </c>
      <c r="B138" s="19" t="s">
        <v>241</v>
      </c>
      <c r="C138" s="73" t="s">
        <v>251</v>
      </c>
      <c r="D138" s="19" t="s">
        <v>48</v>
      </c>
      <c r="E138" s="120">
        <f>155.3-55.9</f>
        <v>99.4</v>
      </c>
      <c r="F138" s="120">
        <v>155.30000000000001</v>
      </c>
      <c r="G138" s="120">
        <v>155.30000000000001</v>
      </c>
    </row>
    <row r="139" spans="1:7" ht="30" x14ac:dyDescent="0.25">
      <c r="A139" s="88" t="s">
        <v>433</v>
      </c>
      <c r="B139" s="122" t="s">
        <v>241</v>
      </c>
      <c r="C139" s="122" t="s">
        <v>434</v>
      </c>
      <c r="D139" s="122"/>
      <c r="E139" s="120">
        <f>E140</f>
        <v>3291.5</v>
      </c>
      <c r="F139" s="120">
        <v>0</v>
      </c>
      <c r="G139" s="120">
        <v>0</v>
      </c>
    </row>
    <row r="140" spans="1:7" ht="30" x14ac:dyDescent="0.25">
      <c r="A140" s="65" t="s">
        <v>21</v>
      </c>
      <c r="B140" s="122" t="s">
        <v>241</v>
      </c>
      <c r="C140" s="122" t="s">
        <v>434</v>
      </c>
      <c r="D140" s="122" t="s">
        <v>48</v>
      </c>
      <c r="E140" s="120">
        <f>3307.2-15.7</f>
        <v>3291.5</v>
      </c>
      <c r="F140" s="120">
        <v>0</v>
      </c>
      <c r="G140" s="120">
        <v>0</v>
      </c>
    </row>
    <row r="141" spans="1:7" ht="30" x14ac:dyDescent="0.25">
      <c r="A141" s="82" t="s">
        <v>252</v>
      </c>
      <c r="B141" s="15" t="s">
        <v>241</v>
      </c>
      <c r="C141" s="73" t="s">
        <v>253</v>
      </c>
      <c r="D141" s="17"/>
      <c r="E141" s="58">
        <f>E142</f>
        <v>2942.3</v>
      </c>
      <c r="F141" s="58">
        <f t="shared" ref="F141:G141" si="31">F142</f>
        <v>2450.1</v>
      </c>
      <c r="G141" s="58">
        <f t="shared" si="31"/>
        <v>2548.1</v>
      </c>
    </row>
    <row r="142" spans="1:7" ht="60" x14ac:dyDescent="0.25">
      <c r="A142" s="1" t="s">
        <v>14</v>
      </c>
      <c r="B142" s="15" t="s">
        <v>241</v>
      </c>
      <c r="C142" s="73" t="s">
        <v>253</v>
      </c>
      <c r="D142" s="17">
        <v>100</v>
      </c>
      <c r="E142" s="120">
        <f>2425.9+516.4</f>
        <v>2942.3</v>
      </c>
      <c r="F142" s="120">
        <v>2450.1</v>
      </c>
      <c r="G142" s="120">
        <v>2548.1</v>
      </c>
    </row>
    <row r="143" spans="1:7" ht="30" x14ac:dyDescent="0.25">
      <c r="A143" s="72" t="s">
        <v>254</v>
      </c>
      <c r="B143" s="15" t="s">
        <v>241</v>
      </c>
      <c r="C143" s="16" t="s">
        <v>255</v>
      </c>
      <c r="D143" s="17"/>
      <c r="E143" s="58">
        <f t="shared" ref="E143:G144" si="32">SUM(E144)</f>
        <v>2784</v>
      </c>
      <c r="F143" s="58">
        <f t="shared" si="32"/>
        <v>3377.2</v>
      </c>
      <c r="G143" s="58">
        <f t="shared" si="32"/>
        <v>3434.8</v>
      </c>
    </row>
    <row r="144" spans="1:7" ht="30" x14ac:dyDescent="0.25">
      <c r="A144" s="61" t="s">
        <v>256</v>
      </c>
      <c r="B144" s="15" t="s">
        <v>241</v>
      </c>
      <c r="C144" s="16" t="s">
        <v>257</v>
      </c>
      <c r="D144" s="17"/>
      <c r="E144" s="58">
        <f t="shared" si="32"/>
        <v>2784</v>
      </c>
      <c r="F144" s="58">
        <f t="shared" si="32"/>
        <v>3377.2</v>
      </c>
      <c r="G144" s="58">
        <f t="shared" si="32"/>
        <v>3434.8</v>
      </c>
    </row>
    <row r="145" spans="1:7" x14ac:dyDescent="0.25">
      <c r="A145" s="61" t="s">
        <v>258</v>
      </c>
      <c r="B145" s="15" t="s">
        <v>241</v>
      </c>
      <c r="C145" s="16" t="s">
        <v>259</v>
      </c>
      <c r="D145" s="17"/>
      <c r="E145" s="58">
        <f>SUM(E146:E147)</f>
        <v>2784</v>
      </c>
      <c r="F145" s="58">
        <f>SUM(F146:F147)</f>
        <v>3377.2</v>
      </c>
      <c r="G145" s="58">
        <f>SUM(G146:G147)</f>
        <v>3434.8</v>
      </c>
    </row>
    <row r="146" spans="1:7" ht="60" x14ac:dyDescent="0.25">
      <c r="A146" s="1" t="s">
        <v>14</v>
      </c>
      <c r="B146" s="15" t="s">
        <v>241</v>
      </c>
      <c r="C146" s="16" t="s">
        <v>259</v>
      </c>
      <c r="D146" s="17">
        <v>100</v>
      </c>
      <c r="E146" s="120">
        <f>1387.9+291.5-630.7</f>
        <v>1048.7</v>
      </c>
      <c r="F146" s="120">
        <v>1441.4</v>
      </c>
      <c r="G146" s="120">
        <v>1499</v>
      </c>
    </row>
    <row r="147" spans="1:7" ht="30" x14ac:dyDescent="0.25">
      <c r="A147" s="1" t="s">
        <v>21</v>
      </c>
      <c r="B147" s="15" t="s">
        <v>241</v>
      </c>
      <c r="C147" s="16" t="s">
        <v>259</v>
      </c>
      <c r="D147" s="17">
        <v>200</v>
      </c>
      <c r="E147" s="120">
        <f>1935.8-93.9-106.6</f>
        <v>1735.3</v>
      </c>
      <c r="F147" s="120">
        <v>1935.8</v>
      </c>
      <c r="G147" s="120">
        <v>1935.8</v>
      </c>
    </row>
    <row r="148" spans="1:7" ht="45" x14ac:dyDescent="0.25">
      <c r="A148" s="65" t="s">
        <v>467</v>
      </c>
      <c r="B148" s="15" t="s">
        <v>241</v>
      </c>
      <c r="C148" s="16" t="s">
        <v>260</v>
      </c>
      <c r="D148" s="17"/>
      <c r="E148" s="58">
        <f t="shared" ref="E148:G149" si="33">SUM(E149)</f>
        <v>66463.399999999994</v>
      </c>
      <c r="F148" s="58">
        <f t="shared" si="33"/>
        <v>55822.8</v>
      </c>
      <c r="G148" s="58">
        <f t="shared" si="33"/>
        <v>57962.200000000004</v>
      </c>
    </row>
    <row r="149" spans="1:7" ht="30" x14ac:dyDescent="0.25">
      <c r="A149" s="1" t="s">
        <v>261</v>
      </c>
      <c r="B149" s="15" t="s">
        <v>241</v>
      </c>
      <c r="C149" s="16" t="s">
        <v>262</v>
      </c>
      <c r="D149" s="17"/>
      <c r="E149" s="58">
        <f t="shared" si="33"/>
        <v>66463.399999999994</v>
      </c>
      <c r="F149" s="58">
        <f t="shared" si="33"/>
        <v>55822.8</v>
      </c>
      <c r="G149" s="58">
        <f t="shared" si="33"/>
        <v>57962.200000000004</v>
      </c>
    </row>
    <row r="150" spans="1:7" ht="30" x14ac:dyDescent="0.25">
      <c r="A150" s="60" t="s">
        <v>51</v>
      </c>
      <c r="B150" s="15" t="s">
        <v>241</v>
      </c>
      <c r="C150" s="79" t="s">
        <v>263</v>
      </c>
      <c r="D150" s="17"/>
      <c r="E150" s="58">
        <f>SUM(E151:E153)</f>
        <v>66463.399999999994</v>
      </c>
      <c r="F150" s="58">
        <f>SUM(F151:F153)</f>
        <v>55822.8</v>
      </c>
      <c r="G150" s="58">
        <f>SUM(G151:G153)</f>
        <v>57962.200000000004</v>
      </c>
    </row>
    <row r="151" spans="1:7" ht="60" x14ac:dyDescent="0.25">
      <c r="A151" s="1" t="s">
        <v>14</v>
      </c>
      <c r="B151" s="15" t="s">
        <v>241</v>
      </c>
      <c r="C151" s="79" t="s">
        <v>263</v>
      </c>
      <c r="D151" s="17">
        <v>100</v>
      </c>
      <c r="E151" s="120">
        <f>46765.1+9288.3+496.3-807.9-583.5</f>
        <v>55158.299999999996</v>
      </c>
      <c r="F151" s="120">
        <v>48650.8</v>
      </c>
      <c r="G151" s="120">
        <v>50585.3</v>
      </c>
    </row>
    <row r="152" spans="1:7" ht="30" x14ac:dyDescent="0.25">
      <c r="A152" s="1" t="s">
        <v>21</v>
      </c>
      <c r="B152" s="15" t="s">
        <v>241</v>
      </c>
      <c r="C152" s="79" t="s">
        <v>263</v>
      </c>
      <c r="D152" s="17">
        <v>200</v>
      </c>
      <c r="E152" s="120">
        <f>6127.1+2463-1000+165.5+462.3+106.6+1862.9+171.5-0.1</f>
        <v>10358.799999999999</v>
      </c>
      <c r="F152" s="120">
        <v>6225.7</v>
      </c>
      <c r="G152" s="120">
        <v>6430.6</v>
      </c>
    </row>
    <row r="153" spans="1:7" x14ac:dyDescent="0.25">
      <c r="A153" s="60" t="s">
        <v>22</v>
      </c>
      <c r="B153" s="15" t="s">
        <v>241</v>
      </c>
      <c r="C153" s="79" t="s">
        <v>263</v>
      </c>
      <c r="D153" s="17">
        <v>800</v>
      </c>
      <c r="E153" s="120">
        <f>946.3</f>
        <v>946.3</v>
      </c>
      <c r="F153" s="120">
        <v>946.3</v>
      </c>
      <c r="G153" s="120">
        <v>946.3</v>
      </c>
    </row>
    <row r="154" spans="1:7" x14ac:dyDescent="0.25">
      <c r="A154" s="80" t="s">
        <v>65</v>
      </c>
      <c r="B154" s="24" t="s">
        <v>66</v>
      </c>
      <c r="C154" s="24"/>
      <c r="D154" s="25"/>
      <c r="E154" s="12">
        <f>E155+E165+E180+E249+E196</f>
        <v>3287316.4</v>
      </c>
      <c r="F154" s="12">
        <f>F155+F165+F180+F249+F196</f>
        <v>1745391.3</v>
      </c>
      <c r="G154" s="12">
        <f>G155+G165+G180+G249+G196</f>
        <v>1266081.7</v>
      </c>
    </row>
    <row r="155" spans="1:7" x14ac:dyDescent="0.25">
      <c r="A155" s="81" t="s">
        <v>210</v>
      </c>
      <c r="B155" s="24" t="s">
        <v>211</v>
      </c>
      <c r="C155" s="24"/>
      <c r="D155" s="25"/>
      <c r="E155" s="12">
        <f>SUM(E156)</f>
        <v>29012.2</v>
      </c>
      <c r="F155" s="12">
        <f t="shared" ref="F155:G156" si="34">SUM(F156)</f>
        <v>3192.2</v>
      </c>
      <c r="G155" s="12">
        <f t="shared" si="34"/>
        <v>3024.2</v>
      </c>
    </row>
    <row r="156" spans="1:7" ht="30" x14ac:dyDescent="0.25">
      <c r="A156" s="65" t="s">
        <v>432</v>
      </c>
      <c r="B156" s="21" t="s">
        <v>211</v>
      </c>
      <c r="C156" s="16" t="s">
        <v>69</v>
      </c>
      <c r="D156" s="22"/>
      <c r="E156" s="58">
        <f>SUM(E157)</f>
        <v>29012.2</v>
      </c>
      <c r="F156" s="58">
        <f t="shared" si="34"/>
        <v>3192.2</v>
      </c>
      <c r="G156" s="58">
        <f t="shared" si="34"/>
        <v>3024.2</v>
      </c>
    </row>
    <row r="157" spans="1:7" ht="30" x14ac:dyDescent="0.25">
      <c r="A157" s="65" t="s">
        <v>70</v>
      </c>
      <c r="B157" s="21" t="s">
        <v>211</v>
      </c>
      <c r="C157" s="16" t="s">
        <v>71</v>
      </c>
      <c r="D157" s="22"/>
      <c r="E157" s="58">
        <f>E158</f>
        <v>29012.2</v>
      </c>
      <c r="F157" s="58">
        <f>F158</f>
        <v>3192.2</v>
      </c>
      <c r="G157" s="58">
        <f>G158</f>
        <v>3024.2</v>
      </c>
    </row>
    <row r="158" spans="1:7" ht="30" x14ac:dyDescent="0.25">
      <c r="A158" s="74" t="s">
        <v>72</v>
      </c>
      <c r="B158" s="21" t="s">
        <v>211</v>
      </c>
      <c r="C158" s="16" t="s">
        <v>73</v>
      </c>
      <c r="D158" s="22"/>
      <c r="E158" s="58">
        <f>E159+E161+E163</f>
        <v>29012.2</v>
      </c>
      <c r="F158" s="58">
        <f t="shared" ref="F158:G158" si="35">F159+F161+F163</f>
        <v>3192.2</v>
      </c>
      <c r="G158" s="58">
        <f t="shared" si="35"/>
        <v>3024.2</v>
      </c>
    </row>
    <row r="159" spans="1:7" ht="30" x14ac:dyDescent="0.25">
      <c r="A159" s="65" t="s">
        <v>212</v>
      </c>
      <c r="B159" s="21" t="s">
        <v>211</v>
      </c>
      <c r="C159" s="16" t="s">
        <v>213</v>
      </c>
      <c r="D159" s="22"/>
      <c r="E159" s="58">
        <f>SUM(E160)</f>
        <v>1000</v>
      </c>
      <c r="F159" s="58">
        <f>SUM(F160)</f>
        <v>432.5</v>
      </c>
      <c r="G159" s="58">
        <f>SUM(G160)</f>
        <v>264.5</v>
      </c>
    </row>
    <row r="160" spans="1:7" ht="30" x14ac:dyDescent="0.25">
      <c r="A160" s="1" t="s">
        <v>21</v>
      </c>
      <c r="B160" s="21" t="s">
        <v>211</v>
      </c>
      <c r="C160" s="16" t="s">
        <v>213</v>
      </c>
      <c r="D160" s="22">
        <v>200</v>
      </c>
      <c r="E160" s="120">
        <v>1000</v>
      </c>
      <c r="F160" s="120">
        <v>432.5</v>
      </c>
      <c r="G160" s="120">
        <v>264.5</v>
      </c>
    </row>
    <row r="161" spans="1:7" ht="30" x14ac:dyDescent="0.25">
      <c r="A161" s="132" t="s">
        <v>450</v>
      </c>
      <c r="B161" s="21" t="s">
        <v>211</v>
      </c>
      <c r="C161" s="16" t="s">
        <v>214</v>
      </c>
      <c r="D161" s="22"/>
      <c r="E161" s="58">
        <f>E162</f>
        <v>2759.7</v>
      </c>
      <c r="F161" s="58">
        <f>F162</f>
        <v>2759.7</v>
      </c>
      <c r="G161" s="58">
        <f>G162</f>
        <v>2759.7</v>
      </c>
    </row>
    <row r="162" spans="1:7" ht="30" x14ac:dyDescent="0.25">
      <c r="A162" s="1" t="s">
        <v>21</v>
      </c>
      <c r="B162" s="21" t="s">
        <v>211</v>
      </c>
      <c r="C162" s="16" t="s">
        <v>214</v>
      </c>
      <c r="D162" s="22">
        <v>200</v>
      </c>
      <c r="E162" s="120">
        <v>2759.7</v>
      </c>
      <c r="F162" s="120">
        <v>2759.7</v>
      </c>
      <c r="G162" s="120">
        <v>2759.7</v>
      </c>
    </row>
    <row r="163" spans="1:7" x14ac:dyDescent="0.25">
      <c r="A163" s="74" t="s">
        <v>697</v>
      </c>
      <c r="B163" s="86" t="s">
        <v>211</v>
      </c>
      <c r="C163" s="16" t="s">
        <v>698</v>
      </c>
      <c r="D163" s="87"/>
      <c r="E163" s="120">
        <f>E164</f>
        <v>25252.5</v>
      </c>
      <c r="F163" s="120">
        <f t="shared" ref="F163:G163" si="36">F164</f>
        <v>0</v>
      </c>
      <c r="G163" s="120">
        <f t="shared" si="36"/>
        <v>0</v>
      </c>
    </row>
    <row r="164" spans="1:7" ht="30" x14ac:dyDescent="0.25">
      <c r="A164" s="82" t="s">
        <v>21</v>
      </c>
      <c r="B164" s="86" t="s">
        <v>211</v>
      </c>
      <c r="C164" s="16" t="s">
        <v>698</v>
      </c>
      <c r="D164" s="87">
        <v>200</v>
      </c>
      <c r="E164" s="120">
        <f>25000+252.5</f>
        <v>25252.5</v>
      </c>
      <c r="F164" s="120">
        <v>0</v>
      </c>
      <c r="G164" s="120">
        <v>0</v>
      </c>
    </row>
    <row r="165" spans="1:7" x14ac:dyDescent="0.25">
      <c r="A165" s="80" t="s">
        <v>67</v>
      </c>
      <c r="B165" s="24" t="s">
        <v>68</v>
      </c>
      <c r="C165" s="24"/>
      <c r="D165" s="25"/>
      <c r="E165" s="12">
        <f>SUM(E169)+E166</f>
        <v>469954.8</v>
      </c>
      <c r="F165" s="12">
        <f t="shared" ref="F165:G165" si="37">SUM(F169)+F166</f>
        <v>295579.3</v>
      </c>
      <c r="G165" s="12">
        <f t="shared" si="37"/>
        <v>117641.8</v>
      </c>
    </row>
    <row r="166" spans="1:7" x14ac:dyDescent="0.25">
      <c r="A166" s="65" t="s">
        <v>10</v>
      </c>
      <c r="B166" s="86" t="s">
        <v>68</v>
      </c>
      <c r="C166" s="16" t="s">
        <v>11</v>
      </c>
      <c r="D166" s="87"/>
      <c r="E166" s="58">
        <f>E167</f>
        <v>10281.1</v>
      </c>
      <c r="F166" s="58">
        <f t="shared" ref="F166:G167" si="38">F167</f>
        <v>0</v>
      </c>
      <c r="G166" s="58">
        <f t="shared" si="38"/>
        <v>0</v>
      </c>
    </row>
    <row r="167" spans="1:7" ht="30" x14ac:dyDescent="0.25">
      <c r="A167" s="65" t="s">
        <v>606</v>
      </c>
      <c r="B167" s="86" t="s">
        <v>68</v>
      </c>
      <c r="C167" s="16" t="s">
        <v>607</v>
      </c>
      <c r="D167" s="87"/>
      <c r="E167" s="58">
        <f>E168</f>
        <v>10281.1</v>
      </c>
      <c r="F167" s="58">
        <f t="shared" si="38"/>
        <v>0</v>
      </c>
      <c r="G167" s="58">
        <f t="shared" si="38"/>
        <v>0</v>
      </c>
    </row>
    <row r="168" spans="1:7" ht="30" x14ac:dyDescent="0.25">
      <c r="A168" s="65" t="s">
        <v>21</v>
      </c>
      <c r="B168" s="86" t="s">
        <v>68</v>
      </c>
      <c r="C168" s="16" t="s">
        <v>607</v>
      </c>
      <c r="D168" s="87">
        <v>200</v>
      </c>
      <c r="E168" s="58">
        <v>10281.1</v>
      </c>
      <c r="F168" s="58">
        <v>0</v>
      </c>
      <c r="G168" s="58">
        <v>0</v>
      </c>
    </row>
    <row r="169" spans="1:7" ht="30" x14ac:dyDescent="0.25">
      <c r="A169" s="74" t="s">
        <v>432</v>
      </c>
      <c r="B169" s="21" t="s">
        <v>68</v>
      </c>
      <c r="C169" s="76" t="s">
        <v>69</v>
      </c>
      <c r="D169" s="22"/>
      <c r="E169" s="58">
        <f t="shared" ref="E169:G170" si="39">SUM(E170)</f>
        <v>459673.7</v>
      </c>
      <c r="F169" s="58">
        <f t="shared" si="39"/>
        <v>295579.3</v>
      </c>
      <c r="G169" s="58">
        <f t="shared" si="39"/>
        <v>117641.8</v>
      </c>
    </row>
    <row r="170" spans="1:7" ht="30" x14ac:dyDescent="0.25">
      <c r="A170" s="74" t="s">
        <v>70</v>
      </c>
      <c r="B170" s="21" t="s">
        <v>68</v>
      </c>
      <c r="C170" s="76" t="s">
        <v>71</v>
      </c>
      <c r="D170" s="22"/>
      <c r="E170" s="58">
        <f t="shared" si="39"/>
        <v>459673.7</v>
      </c>
      <c r="F170" s="58">
        <f t="shared" si="39"/>
        <v>295579.3</v>
      </c>
      <c r="G170" s="58">
        <f t="shared" si="39"/>
        <v>117641.8</v>
      </c>
    </row>
    <row r="171" spans="1:7" ht="30" x14ac:dyDescent="0.25">
      <c r="A171" s="74" t="s">
        <v>72</v>
      </c>
      <c r="B171" s="21" t="s">
        <v>68</v>
      </c>
      <c r="C171" s="76" t="s">
        <v>73</v>
      </c>
      <c r="D171" s="22"/>
      <c r="E171" s="58">
        <f>SUM(E178)+E172+E174+E176</f>
        <v>459673.7</v>
      </c>
      <c r="F171" s="58">
        <f>SUM(F178)+F172+F174+F176</f>
        <v>295579.3</v>
      </c>
      <c r="G171" s="58">
        <f>SUM(G178)+G172+G174+G176</f>
        <v>117641.8</v>
      </c>
    </row>
    <row r="172" spans="1:7" ht="30" x14ac:dyDescent="0.25">
      <c r="A172" s="74" t="s">
        <v>393</v>
      </c>
      <c r="B172" s="76" t="s">
        <v>68</v>
      </c>
      <c r="C172" s="76" t="s">
        <v>383</v>
      </c>
      <c r="D172" s="83"/>
      <c r="E172" s="58">
        <f>E173</f>
        <v>2359.8000000000002</v>
      </c>
      <c r="F172" s="58">
        <f>F173</f>
        <v>2903.8</v>
      </c>
      <c r="G172" s="58">
        <f>G173</f>
        <v>2903.8</v>
      </c>
    </row>
    <row r="173" spans="1:7" ht="30" x14ac:dyDescent="0.25">
      <c r="A173" s="1" t="s">
        <v>21</v>
      </c>
      <c r="B173" s="76" t="s">
        <v>68</v>
      </c>
      <c r="C173" s="76" t="s">
        <v>383</v>
      </c>
      <c r="D173" s="83">
        <v>200</v>
      </c>
      <c r="E173" s="120">
        <f>2903.8-464-80</f>
        <v>2359.8000000000002</v>
      </c>
      <c r="F173" s="120">
        <v>2903.8</v>
      </c>
      <c r="G173" s="120">
        <v>2903.8</v>
      </c>
    </row>
    <row r="174" spans="1:7" ht="45" x14ac:dyDescent="0.25">
      <c r="A174" s="85" t="s">
        <v>654</v>
      </c>
      <c r="B174" s="86" t="s">
        <v>68</v>
      </c>
      <c r="C174" s="86" t="s">
        <v>655</v>
      </c>
      <c r="D174" s="87"/>
      <c r="E174" s="120">
        <f>E175</f>
        <v>173003.5</v>
      </c>
      <c r="F174" s="120">
        <f t="shared" ref="F174:G174" si="40">F175</f>
        <v>0</v>
      </c>
      <c r="G174" s="120">
        <f t="shared" si="40"/>
        <v>0</v>
      </c>
    </row>
    <row r="175" spans="1:7" ht="30" x14ac:dyDescent="0.25">
      <c r="A175" s="157" t="s">
        <v>705</v>
      </c>
      <c r="B175" s="86" t="s">
        <v>68</v>
      </c>
      <c r="C175" s="86" t="s">
        <v>655</v>
      </c>
      <c r="D175" s="87">
        <v>400</v>
      </c>
      <c r="E175" s="120">
        <v>173003.5</v>
      </c>
      <c r="F175" s="120">
        <v>0</v>
      </c>
      <c r="G175" s="120">
        <v>0</v>
      </c>
    </row>
    <row r="176" spans="1:7" ht="60" x14ac:dyDescent="0.25">
      <c r="A176" s="124" t="s">
        <v>465</v>
      </c>
      <c r="B176" s="86" t="s">
        <v>68</v>
      </c>
      <c r="C176" s="86" t="s">
        <v>656</v>
      </c>
      <c r="D176" s="87"/>
      <c r="E176" s="120">
        <f>E177</f>
        <v>0</v>
      </c>
      <c r="F176" s="120">
        <f t="shared" ref="F176:G176" si="41">F177</f>
        <v>1747.5</v>
      </c>
      <c r="G176" s="120">
        <f t="shared" si="41"/>
        <v>0</v>
      </c>
    </row>
    <row r="177" spans="1:7" ht="30" x14ac:dyDescent="0.25">
      <c r="A177" s="157" t="s">
        <v>705</v>
      </c>
      <c r="B177" s="86" t="s">
        <v>68</v>
      </c>
      <c r="C177" s="86" t="s">
        <v>656</v>
      </c>
      <c r="D177" s="87">
        <v>400</v>
      </c>
      <c r="E177" s="120">
        <v>0</v>
      </c>
      <c r="F177" s="120">
        <v>1747.5</v>
      </c>
      <c r="G177" s="120">
        <v>0</v>
      </c>
    </row>
    <row r="178" spans="1:7" ht="93" customHeight="1" x14ac:dyDescent="0.25">
      <c r="A178" s="88" t="s">
        <v>694</v>
      </c>
      <c r="B178" s="21" t="s">
        <v>68</v>
      </c>
      <c r="C178" s="86" t="s">
        <v>435</v>
      </c>
      <c r="D178" s="87"/>
      <c r="E178" s="120">
        <f>SUM(E179)</f>
        <v>284310.40000000002</v>
      </c>
      <c r="F178" s="120">
        <f t="shared" ref="F178:G178" si="42">SUM(F179)</f>
        <v>290928</v>
      </c>
      <c r="G178" s="120">
        <f t="shared" si="42"/>
        <v>114738</v>
      </c>
    </row>
    <row r="179" spans="1:7" ht="30" x14ac:dyDescent="0.25">
      <c r="A179" s="157" t="s">
        <v>705</v>
      </c>
      <c r="B179" s="21" t="s">
        <v>68</v>
      </c>
      <c r="C179" s="86" t="s">
        <v>435</v>
      </c>
      <c r="D179" s="87">
        <v>400</v>
      </c>
      <c r="E179" s="120">
        <f>SUM(10586.1+165848.9)+6383+100000+1492.4</f>
        <v>284310.40000000002</v>
      </c>
      <c r="F179" s="120">
        <f>SUM(11275.7+176652.3)+3000+94000+6000</f>
        <v>290928</v>
      </c>
      <c r="G179" s="120">
        <f>11738+3000+94000+6000</f>
        <v>114738</v>
      </c>
    </row>
    <row r="180" spans="1:7" x14ac:dyDescent="0.25">
      <c r="A180" s="80" t="s">
        <v>74</v>
      </c>
      <c r="B180" s="24" t="s">
        <v>75</v>
      </c>
      <c r="C180" s="24"/>
      <c r="D180" s="25"/>
      <c r="E180" s="12">
        <f>SUM(E181)</f>
        <v>91836.400000000009</v>
      </c>
      <c r="F180" s="12">
        <f>SUM(F181)</f>
        <v>57453.399999999994</v>
      </c>
      <c r="G180" s="12">
        <f>SUM(G181)</f>
        <v>44530.7</v>
      </c>
    </row>
    <row r="181" spans="1:7" ht="30" x14ac:dyDescent="0.25">
      <c r="A181" s="74" t="s">
        <v>436</v>
      </c>
      <c r="B181" s="21" t="s">
        <v>75</v>
      </c>
      <c r="C181" s="76" t="s">
        <v>76</v>
      </c>
      <c r="D181" s="83"/>
      <c r="E181" s="58">
        <f>SUM(E182)</f>
        <v>91836.400000000009</v>
      </c>
      <c r="F181" s="58">
        <f t="shared" ref="F181:G181" si="43">SUM(F182)</f>
        <v>57453.399999999994</v>
      </c>
      <c r="G181" s="58">
        <f t="shared" si="43"/>
        <v>44530.7</v>
      </c>
    </row>
    <row r="182" spans="1:7" ht="30" x14ac:dyDescent="0.25">
      <c r="A182" s="74" t="s">
        <v>77</v>
      </c>
      <c r="B182" s="21" t="s">
        <v>75</v>
      </c>
      <c r="C182" s="76" t="s">
        <v>78</v>
      </c>
      <c r="D182" s="83"/>
      <c r="E182" s="58">
        <f>SUM(E183)</f>
        <v>91836.400000000009</v>
      </c>
      <c r="F182" s="58">
        <f>SUM(F183)</f>
        <v>57453.399999999994</v>
      </c>
      <c r="G182" s="58">
        <f>SUM(G183)</f>
        <v>44530.7</v>
      </c>
    </row>
    <row r="183" spans="1:7" ht="42" customHeight="1" x14ac:dyDescent="0.25">
      <c r="A183" s="74" t="s">
        <v>79</v>
      </c>
      <c r="B183" s="21" t="s">
        <v>75</v>
      </c>
      <c r="C183" s="76" t="s">
        <v>80</v>
      </c>
      <c r="D183" s="83"/>
      <c r="E183" s="58">
        <f>SUM(E186+E190+E192+E194)+E184+E188</f>
        <v>91836.400000000009</v>
      </c>
      <c r="F183" s="58">
        <f t="shared" ref="F183:G183" si="44">SUM(F186+F190+F192+F194)+F184</f>
        <v>57453.399999999994</v>
      </c>
      <c r="G183" s="58">
        <f t="shared" si="44"/>
        <v>44530.7</v>
      </c>
    </row>
    <row r="184" spans="1:7" ht="18" customHeight="1" x14ac:dyDescent="0.25">
      <c r="A184" s="88" t="s">
        <v>528</v>
      </c>
      <c r="B184" s="86" t="s">
        <v>75</v>
      </c>
      <c r="C184" s="86" t="s">
        <v>529</v>
      </c>
      <c r="D184" s="87"/>
      <c r="E184" s="58">
        <f>E185</f>
        <v>18127.399999999998</v>
      </c>
      <c r="F184" s="58">
        <f t="shared" ref="F184:G184" si="45">F185</f>
        <v>11226.1</v>
      </c>
      <c r="G184" s="58">
        <f t="shared" si="45"/>
        <v>13174.600000000002</v>
      </c>
    </row>
    <row r="185" spans="1:7" ht="30" x14ac:dyDescent="0.25">
      <c r="A185" s="65" t="s">
        <v>21</v>
      </c>
      <c r="B185" s="86" t="s">
        <v>75</v>
      </c>
      <c r="C185" s="86" t="s">
        <v>529</v>
      </c>
      <c r="D185" s="87">
        <v>200</v>
      </c>
      <c r="E185" s="58">
        <f>3146+7701.3+1068.6+548.3-30+242+798+4653.2</f>
        <v>18127.399999999998</v>
      </c>
      <c r="F185" s="58">
        <f>1522.3+7701.3+1135.5+867</f>
        <v>11226.1</v>
      </c>
      <c r="G185" s="58">
        <f>461.3+7701.3+329.2+4682.8</f>
        <v>13174.600000000002</v>
      </c>
    </row>
    <row r="186" spans="1:7" ht="30" x14ac:dyDescent="0.25">
      <c r="A186" s="77" t="s">
        <v>55</v>
      </c>
      <c r="B186" s="21" t="s">
        <v>75</v>
      </c>
      <c r="C186" s="76" t="s">
        <v>81</v>
      </c>
      <c r="D186" s="83"/>
      <c r="E186" s="58">
        <f>SUM(E187)</f>
        <v>5376.7999999999993</v>
      </c>
      <c r="F186" s="58">
        <f>SUM(F187)</f>
        <v>4090.7</v>
      </c>
      <c r="G186" s="58">
        <f>SUM(G187)</f>
        <v>4990.5</v>
      </c>
    </row>
    <row r="187" spans="1:7" ht="30" x14ac:dyDescent="0.25">
      <c r="A187" s="77" t="s">
        <v>56</v>
      </c>
      <c r="B187" s="21" t="s">
        <v>75</v>
      </c>
      <c r="C187" s="76" t="s">
        <v>81</v>
      </c>
      <c r="D187" s="83">
        <v>600</v>
      </c>
      <c r="E187" s="120">
        <f>5041.4+838.4-503</f>
        <v>5376.7999999999993</v>
      </c>
      <c r="F187" s="120">
        <f>5226.2-1135.5</f>
        <v>4090.7</v>
      </c>
      <c r="G187" s="120">
        <f>5319.7-329.2</f>
        <v>4990.5</v>
      </c>
    </row>
    <row r="188" spans="1:7" ht="32.25" customHeight="1" x14ac:dyDescent="0.25">
      <c r="A188" s="77" t="s">
        <v>684</v>
      </c>
      <c r="B188" s="21" t="s">
        <v>75</v>
      </c>
      <c r="C188" s="76" t="s">
        <v>683</v>
      </c>
      <c r="D188" s="83"/>
      <c r="E188" s="120">
        <f>SUM(E189)</f>
        <v>91</v>
      </c>
      <c r="F188" s="120"/>
      <c r="G188" s="120"/>
    </row>
    <row r="189" spans="1:7" ht="32.25" customHeight="1" x14ac:dyDescent="0.25">
      <c r="A189" s="77" t="s">
        <v>21</v>
      </c>
      <c r="B189" s="21" t="s">
        <v>75</v>
      </c>
      <c r="C189" s="76" t="s">
        <v>683</v>
      </c>
      <c r="D189" s="83">
        <v>200</v>
      </c>
      <c r="E189" s="120">
        <v>91</v>
      </c>
      <c r="F189" s="120"/>
      <c r="G189" s="120"/>
    </row>
    <row r="190" spans="1:7" ht="45" x14ac:dyDescent="0.25">
      <c r="A190" s="74" t="s">
        <v>82</v>
      </c>
      <c r="B190" s="21" t="s">
        <v>75</v>
      </c>
      <c r="C190" s="21" t="s">
        <v>83</v>
      </c>
      <c r="D190" s="22"/>
      <c r="E190" s="58">
        <f>SUM(E191)</f>
        <v>46117.100000000006</v>
      </c>
      <c r="F190" s="58">
        <f>SUM(F191)</f>
        <v>34204</v>
      </c>
      <c r="G190" s="58">
        <f>SUM(G191)</f>
        <v>21387.5</v>
      </c>
    </row>
    <row r="191" spans="1:7" x14ac:dyDescent="0.25">
      <c r="A191" s="77" t="s">
        <v>22</v>
      </c>
      <c r="B191" s="21" t="s">
        <v>75</v>
      </c>
      <c r="C191" s="21" t="s">
        <v>83</v>
      </c>
      <c r="D191" s="22">
        <v>800</v>
      </c>
      <c r="E191" s="120">
        <f>35726.3+4560.9+7969.9-2140</f>
        <v>46117.100000000006</v>
      </c>
      <c r="F191" s="120">
        <f>35726.3-1522.3</f>
        <v>34204</v>
      </c>
      <c r="G191" s="120">
        <f>21848.8-461.3</f>
        <v>21387.5</v>
      </c>
    </row>
    <row r="192" spans="1:7" ht="75" x14ac:dyDescent="0.25">
      <c r="A192" s="74" t="s">
        <v>395</v>
      </c>
      <c r="B192" s="21" t="s">
        <v>75</v>
      </c>
      <c r="C192" s="21" t="s">
        <v>84</v>
      </c>
      <c r="D192" s="22"/>
      <c r="E192" s="58">
        <f>SUM(E193)</f>
        <v>21781.100000000002</v>
      </c>
      <c r="F192" s="58">
        <f>SUM(F193)</f>
        <v>7606.1</v>
      </c>
      <c r="G192" s="58">
        <f>SUM(G193)</f>
        <v>4651.6000000000004</v>
      </c>
    </row>
    <row r="193" spans="1:7" x14ac:dyDescent="0.25">
      <c r="A193" s="77" t="s">
        <v>22</v>
      </c>
      <c r="B193" s="21" t="s">
        <v>75</v>
      </c>
      <c r="C193" s="21" t="s">
        <v>84</v>
      </c>
      <c r="D193" s="22">
        <v>800</v>
      </c>
      <c r="E193" s="120">
        <f>7606.1+8501.3+2145+3533.7-5</f>
        <v>21781.100000000002</v>
      </c>
      <c r="F193" s="120">
        <v>7606.1</v>
      </c>
      <c r="G193" s="120">
        <v>4651.6000000000004</v>
      </c>
    </row>
    <row r="194" spans="1:7" ht="75" x14ac:dyDescent="0.25">
      <c r="A194" s="85" t="s">
        <v>85</v>
      </c>
      <c r="B194" s="21" t="s">
        <v>75</v>
      </c>
      <c r="C194" s="21" t="s">
        <v>86</v>
      </c>
      <c r="D194" s="22"/>
      <c r="E194" s="58">
        <f>SUM(E195)</f>
        <v>343</v>
      </c>
      <c r="F194" s="58">
        <f>SUM(F195)</f>
        <v>326.5</v>
      </c>
      <c r="G194" s="58">
        <f>SUM(G195)</f>
        <v>326.5</v>
      </c>
    </row>
    <row r="195" spans="1:7" x14ac:dyDescent="0.25">
      <c r="A195" s="77" t="s">
        <v>22</v>
      </c>
      <c r="B195" s="21" t="s">
        <v>75</v>
      </c>
      <c r="C195" s="21" t="s">
        <v>86</v>
      </c>
      <c r="D195" s="22">
        <v>800</v>
      </c>
      <c r="E195" s="120">
        <f>326.5+16.5-5+5</f>
        <v>343</v>
      </c>
      <c r="F195" s="120">
        <v>326.5</v>
      </c>
      <c r="G195" s="120">
        <v>326.5</v>
      </c>
    </row>
    <row r="196" spans="1:7" x14ac:dyDescent="0.25">
      <c r="A196" s="80" t="s">
        <v>87</v>
      </c>
      <c r="B196" s="24" t="s">
        <v>88</v>
      </c>
      <c r="C196" s="24"/>
      <c r="D196" s="25"/>
      <c r="E196" s="12">
        <f>SUM(E202)+E244+E197</f>
        <v>1793657.7999999998</v>
      </c>
      <c r="F196" s="12">
        <f t="shared" ref="F196:G196" si="46">SUM(F202)+F244+F197</f>
        <v>1052188.2</v>
      </c>
      <c r="G196" s="12">
        <f t="shared" si="46"/>
        <v>887550.1</v>
      </c>
    </row>
    <row r="197" spans="1:7" s="155" customFormat="1" x14ac:dyDescent="0.25">
      <c r="A197" s="65" t="s">
        <v>10</v>
      </c>
      <c r="B197" s="15" t="s">
        <v>88</v>
      </c>
      <c r="C197" s="144" t="s">
        <v>11</v>
      </c>
      <c r="D197" s="17"/>
      <c r="E197" s="58">
        <f>E200+E198</f>
        <v>21492.600000000002</v>
      </c>
      <c r="F197" s="58">
        <f>F200</f>
        <v>0</v>
      </c>
      <c r="G197" s="58">
        <f>G200</f>
        <v>0</v>
      </c>
    </row>
    <row r="198" spans="1:7" s="155" customFormat="1" ht="30" x14ac:dyDescent="0.25">
      <c r="A198" s="74" t="s">
        <v>606</v>
      </c>
      <c r="B198" s="86" t="s">
        <v>88</v>
      </c>
      <c r="C198" s="86" t="s">
        <v>607</v>
      </c>
      <c r="D198" s="87"/>
      <c r="E198" s="58">
        <f>E199</f>
        <v>19588.400000000001</v>
      </c>
      <c r="F198" s="58">
        <f t="shared" ref="F198:G198" si="47">F199</f>
        <v>0</v>
      </c>
      <c r="G198" s="58">
        <f t="shared" si="47"/>
        <v>0</v>
      </c>
    </row>
    <row r="199" spans="1:7" s="155" customFormat="1" x14ac:dyDescent="0.25">
      <c r="A199" s="82" t="s">
        <v>22</v>
      </c>
      <c r="B199" s="86" t="s">
        <v>88</v>
      </c>
      <c r="C199" s="86" t="s">
        <v>607</v>
      </c>
      <c r="D199" s="87">
        <v>800</v>
      </c>
      <c r="E199" s="58">
        <v>19588.400000000001</v>
      </c>
      <c r="F199" s="58">
        <v>0</v>
      </c>
      <c r="G199" s="58">
        <v>0</v>
      </c>
    </row>
    <row r="200" spans="1:7" s="155" customFormat="1" x14ac:dyDescent="0.25">
      <c r="A200" s="65" t="s">
        <v>208</v>
      </c>
      <c r="B200" s="15" t="s">
        <v>88</v>
      </c>
      <c r="C200" s="144" t="s">
        <v>209</v>
      </c>
      <c r="D200" s="17"/>
      <c r="E200" s="58">
        <f>E201</f>
        <v>1904.2</v>
      </c>
      <c r="F200" s="58">
        <f t="shared" ref="F200:G200" si="48">F201</f>
        <v>0</v>
      </c>
      <c r="G200" s="58">
        <f t="shared" si="48"/>
        <v>0</v>
      </c>
    </row>
    <row r="201" spans="1:7" s="155" customFormat="1" ht="30" x14ac:dyDescent="0.25">
      <c r="A201" s="65" t="s">
        <v>21</v>
      </c>
      <c r="B201" s="15" t="s">
        <v>88</v>
      </c>
      <c r="C201" s="144" t="s">
        <v>209</v>
      </c>
      <c r="D201" s="17">
        <v>200</v>
      </c>
      <c r="E201" s="58">
        <v>1904.2</v>
      </c>
      <c r="F201" s="58">
        <v>0</v>
      </c>
      <c r="G201" s="58">
        <v>0</v>
      </c>
    </row>
    <row r="202" spans="1:7" ht="30" x14ac:dyDescent="0.25">
      <c r="A202" s="74" t="s">
        <v>436</v>
      </c>
      <c r="B202" s="21" t="s">
        <v>88</v>
      </c>
      <c r="C202" s="76" t="s">
        <v>76</v>
      </c>
      <c r="D202" s="22"/>
      <c r="E202" s="58">
        <f>SUM(E203)</f>
        <v>1772165.1999999997</v>
      </c>
      <c r="F202" s="58">
        <f t="shared" ref="F202:G202" si="49">SUM(F203)</f>
        <v>1045355.4</v>
      </c>
      <c r="G202" s="58">
        <f t="shared" si="49"/>
        <v>880444</v>
      </c>
    </row>
    <row r="203" spans="1:7" ht="30" x14ac:dyDescent="0.25">
      <c r="A203" s="74" t="s">
        <v>89</v>
      </c>
      <c r="B203" s="21" t="s">
        <v>88</v>
      </c>
      <c r="C203" s="76" t="s">
        <v>90</v>
      </c>
      <c r="D203" s="22"/>
      <c r="E203" s="58">
        <f>SUM(E204)</f>
        <v>1772165.1999999997</v>
      </c>
      <c r="F203" s="58">
        <f>SUM(F204)</f>
        <v>1045355.4</v>
      </c>
      <c r="G203" s="58">
        <f>SUM(G204)</f>
        <v>880444</v>
      </c>
    </row>
    <row r="204" spans="1:7" ht="30" x14ac:dyDescent="0.25">
      <c r="A204" s="82" t="s">
        <v>91</v>
      </c>
      <c r="B204" s="21" t="s">
        <v>88</v>
      </c>
      <c r="C204" s="76" t="s">
        <v>92</v>
      </c>
      <c r="D204" s="22"/>
      <c r="E204" s="58">
        <f>E210+E216+E220+E228+E224+E236+E238+E240+E234+E242+E222+E205+E218+E226+E230+E232+E214</f>
        <v>1772165.1999999997</v>
      </c>
      <c r="F204" s="58">
        <f t="shared" ref="F204:G204" si="50">F210+F216+F220+F228+F224+F236+F238+F240+F234+F242+F222+F205+F218+F226+F230+F232+F214</f>
        <v>1045355.4</v>
      </c>
      <c r="G204" s="58">
        <f t="shared" si="50"/>
        <v>880444</v>
      </c>
    </row>
    <row r="205" spans="1:7" x14ac:dyDescent="0.25">
      <c r="A205" s="74" t="s">
        <v>711</v>
      </c>
      <c r="B205" s="21" t="s">
        <v>88</v>
      </c>
      <c r="C205" s="76" t="s">
        <v>569</v>
      </c>
      <c r="D205" s="22"/>
      <c r="E205" s="58">
        <f>E208+E206</f>
        <v>819119.10000000009</v>
      </c>
      <c r="F205" s="58">
        <f>F208+F206</f>
        <v>554785.30000000005</v>
      </c>
      <c r="G205" s="58">
        <f>G208+G206</f>
        <v>428464</v>
      </c>
    </row>
    <row r="206" spans="1:7" ht="30" x14ac:dyDescent="0.25">
      <c r="A206" s="65" t="s">
        <v>657</v>
      </c>
      <c r="B206" s="86" t="s">
        <v>88</v>
      </c>
      <c r="C206" s="86" t="s">
        <v>658</v>
      </c>
      <c r="D206" s="87"/>
      <c r="E206" s="58">
        <f>E207</f>
        <v>160613.29999999999</v>
      </c>
      <c r="F206" s="58">
        <f t="shared" ref="F206:G206" si="51">F207</f>
        <v>0</v>
      </c>
      <c r="G206" s="58">
        <f t="shared" si="51"/>
        <v>0</v>
      </c>
    </row>
    <row r="207" spans="1:7" ht="30" x14ac:dyDescent="0.25">
      <c r="A207" s="65" t="s">
        <v>21</v>
      </c>
      <c r="B207" s="86" t="s">
        <v>88</v>
      </c>
      <c r="C207" s="86" t="s">
        <v>658</v>
      </c>
      <c r="D207" s="87">
        <v>200</v>
      </c>
      <c r="E207" s="58">
        <f>157757.9+2855.4</f>
        <v>160613.29999999999</v>
      </c>
      <c r="F207" s="58">
        <v>0</v>
      </c>
      <c r="G207" s="58">
        <v>0</v>
      </c>
    </row>
    <row r="208" spans="1:7" ht="45" x14ac:dyDescent="0.25">
      <c r="A208" s="82" t="s">
        <v>437</v>
      </c>
      <c r="B208" s="86" t="s">
        <v>88</v>
      </c>
      <c r="C208" s="86" t="s">
        <v>438</v>
      </c>
      <c r="D208" s="22"/>
      <c r="E208" s="58">
        <f>E209</f>
        <v>658505.80000000005</v>
      </c>
      <c r="F208" s="58">
        <f t="shared" ref="F208:G208" si="52">F209</f>
        <v>554785.30000000005</v>
      </c>
      <c r="G208" s="58">
        <f t="shared" si="52"/>
        <v>428464</v>
      </c>
    </row>
    <row r="209" spans="1:7" ht="30" x14ac:dyDescent="0.25">
      <c r="A209" s="65" t="s">
        <v>21</v>
      </c>
      <c r="B209" s="21" t="s">
        <v>88</v>
      </c>
      <c r="C209" s="86" t="s">
        <v>438</v>
      </c>
      <c r="D209" s="87">
        <v>200</v>
      </c>
      <c r="E209" s="58">
        <f>529412+78639+739.9+49714.9</f>
        <v>658505.80000000005</v>
      </c>
      <c r="F209" s="58">
        <v>554785.30000000005</v>
      </c>
      <c r="G209" s="58">
        <v>428464</v>
      </c>
    </row>
    <row r="210" spans="1:7" ht="45" x14ac:dyDescent="0.25">
      <c r="A210" s="82" t="s">
        <v>429</v>
      </c>
      <c r="B210" s="76" t="s">
        <v>88</v>
      </c>
      <c r="C210" s="76" t="s">
        <v>388</v>
      </c>
      <c r="D210" s="22"/>
      <c r="E210" s="58">
        <f>E211+E212+E213</f>
        <v>645327.29999999981</v>
      </c>
      <c r="F210" s="58">
        <f t="shared" ref="F210:G210" si="53">F211+F212+F213</f>
        <v>293586.3</v>
      </c>
      <c r="G210" s="58">
        <f t="shared" si="53"/>
        <v>293586.3</v>
      </c>
    </row>
    <row r="211" spans="1:7" ht="30" x14ac:dyDescent="0.25">
      <c r="A211" s="1" t="s">
        <v>21</v>
      </c>
      <c r="B211" s="76" t="s">
        <v>88</v>
      </c>
      <c r="C211" s="76" t="s">
        <v>388</v>
      </c>
      <c r="D211" s="83">
        <v>200</v>
      </c>
      <c r="E211" s="120">
        <f>202446.3-15422.7+52500+23173.9+39454.8+239114.4+2774.1-1329.3+1107.3+2721.7+77738.6+3700.6+17347.6+1645-23321.6-1488.6+105</f>
        <v>622267.09999999986</v>
      </c>
      <c r="F211" s="120">
        <f>237463.8-2.2+3624.7</f>
        <v>241086.3</v>
      </c>
      <c r="G211" s="120">
        <f>237463.8-2.2+3624.7</f>
        <v>241086.3</v>
      </c>
    </row>
    <row r="212" spans="1:7" ht="30" x14ac:dyDescent="0.25">
      <c r="A212" s="157" t="s">
        <v>705</v>
      </c>
      <c r="B212" s="76" t="s">
        <v>88</v>
      </c>
      <c r="C212" s="76" t="s">
        <v>388</v>
      </c>
      <c r="D212" s="83">
        <v>400</v>
      </c>
      <c r="E212" s="120">
        <v>0</v>
      </c>
      <c r="F212" s="120">
        <v>52500</v>
      </c>
      <c r="G212" s="120">
        <v>52500</v>
      </c>
    </row>
    <row r="213" spans="1:7" x14ac:dyDescent="0.25">
      <c r="A213" s="82" t="s">
        <v>22</v>
      </c>
      <c r="B213" s="76" t="s">
        <v>88</v>
      </c>
      <c r="C213" s="76" t="s">
        <v>388</v>
      </c>
      <c r="D213" s="83">
        <v>800</v>
      </c>
      <c r="E213" s="120">
        <f>21676.6+1383.6</f>
        <v>23060.199999999997</v>
      </c>
      <c r="F213" s="120"/>
      <c r="G213" s="120"/>
    </row>
    <row r="214" spans="1:7" ht="31.5" x14ac:dyDescent="0.25">
      <c r="A214" s="137" t="s">
        <v>699</v>
      </c>
      <c r="B214" s="86" t="s">
        <v>88</v>
      </c>
      <c r="C214" s="86" t="s">
        <v>700</v>
      </c>
      <c r="D214" s="87"/>
      <c r="E214" s="120">
        <f>E215</f>
        <v>299.89999999999998</v>
      </c>
      <c r="F214" s="120">
        <f t="shared" ref="F214:G214" si="54">F215</f>
        <v>0</v>
      </c>
      <c r="G214" s="120">
        <f t="shared" si="54"/>
        <v>0</v>
      </c>
    </row>
    <row r="215" spans="1:7" x14ac:dyDescent="0.25">
      <c r="A215" s="82" t="s">
        <v>22</v>
      </c>
      <c r="B215" s="86" t="s">
        <v>88</v>
      </c>
      <c r="C215" s="86" t="s">
        <v>700</v>
      </c>
      <c r="D215" s="87">
        <v>800</v>
      </c>
      <c r="E215" s="120">
        <v>299.89999999999998</v>
      </c>
      <c r="F215" s="120">
        <v>0</v>
      </c>
      <c r="G215" s="120">
        <v>0</v>
      </c>
    </row>
    <row r="216" spans="1:7" ht="30" x14ac:dyDescent="0.25">
      <c r="A216" s="88" t="s">
        <v>619</v>
      </c>
      <c r="B216" s="86" t="s">
        <v>88</v>
      </c>
      <c r="C216" s="83" t="s">
        <v>618</v>
      </c>
      <c r="D216" s="87"/>
      <c r="E216" s="120">
        <f>SUM(E217)</f>
        <v>1700</v>
      </c>
      <c r="F216" s="120">
        <v>0</v>
      </c>
      <c r="G216" s="120">
        <v>0</v>
      </c>
    </row>
    <row r="217" spans="1:7" ht="30" x14ac:dyDescent="0.25">
      <c r="A217" s="65" t="s">
        <v>21</v>
      </c>
      <c r="B217" s="86" t="s">
        <v>88</v>
      </c>
      <c r="C217" s="83" t="s">
        <v>618</v>
      </c>
      <c r="D217" s="87">
        <v>200</v>
      </c>
      <c r="E217" s="120">
        <v>1700</v>
      </c>
      <c r="F217" s="120">
        <v>0</v>
      </c>
      <c r="G217" s="120">
        <v>0</v>
      </c>
    </row>
    <row r="218" spans="1:7" ht="30" x14ac:dyDescent="0.25">
      <c r="A218" s="82" t="s">
        <v>646</v>
      </c>
      <c r="B218" s="86" t="s">
        <v>88</v>
      </c>
      <c r="C218" s="86" t="s">
        <v>647</v>
      </c>
      <c r="D218" s="87"/>
      <c r="E218" s="120">
        <f>E219</f>
        <v>0</v>
      </c>
      <c r="F218" s="120">
        <f t="shared" ref="F218:G218" si="55">F219</f>
        <v>0</v>
      </c>
      <c r="G218" s="120">
        <f t="shared" si="55"/>
        <v>0</v>
      </c>
    </row>
    <row r="219" spans="1:7" ht="30" x14ac:dyDescent="0.25">
      <c r="A219" s="82" t="s">
        <v>21</v>
      </c>
      <c r="B219" s="86" t="s">
        <v>88</v>
      </c>
      <c r="C219" s="86" t="s">
        <v>647</v>
      </c>
      <c r="D219" s="87">
        <v>200</v>
      </c>
      <c r="E219" s="120">
        <f>5663.5-5663.5</f>
        <v>0</v>
      </c>
      <c r="F219" s="120">
        <v>0</v>
      </c>
      <c r="G219" s="120">
        <v>0</v>
      </c>
    </row>
    <row r="220" spans="1:7" x14ac:dyDescent="0.25">
      <c r="A220" s="89" t="s">
        <v>573</v>
      </c>
      <c r="B220" s="21" t="s">
        <v>88</v>
      </c>
      <c r="C220" s="21" t="s">
        <v>413</v>
      </c>
      <c r="D220" s="63"/>
      <c r="E220" s="59">
        <f>SUM(E221)</f>
        <v>0</v>
      </c>
      <c r="F220" s="59">
        <f t="shared" ref="F220:G220" si="56">SUM(F221)</f>
        <v>13.9</v>
      </c>
      <c r="G220" s="59">
        <f t="shared" si="56"/>
        <v>13.9</v>
      </c>
    </row>
    <row r="221" spans="1:7" ht="30" x14ac:dyDescent="0.25">
      <c r="A221" s="65" t="s">
        <v>21</v>
      </c>
      <c r="B221" s="21" t="s">
        <v>88</v>
      </c>
      <c r="C221" s="21" t="s">
        <v>413</v>
      </c>
      <c r="D221" s="63">
        <v>200</v>
      </c>
      <c r="E221" s="120">
        <f>22.8-22.8</f>
        <v>0</v>
      </c>
      <c r="F221" s="120">
        <v>13.9</v>
      </c>
      <c r="G221" s="120">
        <v>13.9</v>
      </c>
    </row>
    <row r="222" spans="1:7" ht="45" x14ac:dyDescent="0.25">
      <c r="A222" s="65" t="s">
        <v>564</v>
      </c>
      <c r="B222" s="21" t="s">
        <v>88</v>
      </c>
      <c r="C222" s="86" t="s">
        <v>565</v>
      </c>
      <c r="D222" s="87"/>
      <c r="E222" s="120">
        <f>E223</f>
        <v>4209.8999999999996</v>
      </c>
      <c r="F222" s="120">
        <f t="shared" ref="F222:G222" si="57">F223</f>
        <v>0</v>
      </c>
      <c r="G222" s="120">
        <f t="shared" si="57"/>
        <v>0</v>
      </c>
    </row>
    <row r="223" spans="1:7" ht="30" x14ac:dyDescent="0.25">
      <c r="A223" s="157" t="s">
        <v>705</v>
      </c>
      <c r="B223" s="21" t="s">
        <v>88</v>
      </c>
      <c r="C223" s="86" t="s">
        <v>565</v>
      </c>
      <c r="D223" s="87">
        <v>400</v>
      </c>
      <c r="E223" s="120">
        <v>4209.8999999999996</v>
      </c>
      <c r="F223" s="120"/>
      <c r="G223" s="120"/>
    </row>
    <row r="224" spans="1:7" ht="30" x14ac:dyDescent="0.25">
      <c r="A224" s="23" t="s">
        <v>439</v>
      </c>
      <c r="B224" s="86" t="s">
        <v>88</v>
      </c>
      <c r="C224" s="86" t="s">
        <v>408</v>
      </c>
      <c r="D224" s="87"/>
      <c r="E224" s="120">
        <f>SUM(E225)</f>
        <v>5260.3</v>
      </c>
      <c r="F224" s="120">
        <f t="shared" ref="F224:G224" si="58">SUM(F225)</f>
        <v>33102</v>
      </c>
      <c r="G224" s="120">
        <f t="shared" si="58"/>
        <v>3000</v>
      </c>
    </row>
    <row r="225" spans="1:7" ht="30" x14ac:dyDescent="0.25">
      <c r="A225" s="157" t="s">
        <v>705</v>
      </c>
      <c r="B225" s="86" t="s">
        <v>88</v>
      </c>
      <c r="C225" s="86" t="s">
        <v>408</v>
      </c>
      <c r="D225" s="87">
        <v>400</v>
      </c>
      <c r="E225" s="120">
        <f>8100-85.7-2754</f>
        <v>5260.3</v>
      </c>
      <c r="F225" s="120">
        <v>33102</v>
      </c>
      <c r="G225" s="120">
        <v>3000</v>
      </c>
    </row>
    <row r="226" spans="1:7" ht="75" x14ac:dyDescent="0.25">
      <c r="A226" s="23" t="s">
        <v>659</v>
      </c>
      <c r="B226" s="86" t="s">
        <v>88</v>
      </c>
      <c r="C226" s="86" t="s">
        <v>660</v>
      </c>
      <c r="D226" s="87"/>
      <c r="E226" s="120">
        <f>E227</f>
        <v>37146</v>
      </c>
      <c r="F226" s="120">
        <f t="shared" ref="F226:G226" si="59">F227</f>
        <v>0</v>
      </c>
      <c r="G226" s="120">
        <f t="shared" si="59"/>
        <v>0</v>
      </c>
    </row>
    <row r="227" spans="1:7" ht="30" x14ac:dyDescent="0.25">
      <c r="A227" s="65" t="s">
        <v>21</v>
      </c>
      <c r="B227" s="86" t="s">
        <v>88</v>
      </c>
      <c r="C227" s="86" t="s">
        <v>660</v>
      </c>
      <c r="D227" s="87">
        <v>200</v>
      </c>
      <c r="E227" s="120">
        <f>1146+36000</f>
        <v>37146</v>
      </c>
      <c r="F227" s="120"/>
      <c r="G227" s="120"/>
    </row>
    <row r="228" spans="1:7" ht="30" x14ac:dyDescent="0.25">
      <c r="A228" s="75" t="s">
        <v>215</v>
      </c>
      <c r="B228" s="21" t="s">
        <v>88</v>
      </c>
      <c r="C228" s="21" t="s">
        <v>216</v>
      </c>
      <c r="D228" s="22"/>
      <c r="E228" s="58">
        <f>SUM(E229)</f>
        <v>156910.29999999999</v>
      </c>
      <c r="F228" s="58">
        <f>SUM(F229)</f>
        <v>71464.2</v>
      </c>
      <c r="G228" s="58">
        <f>SUM(G229)</f>
        <v>20000</v>
      </c>
    </row>
    <row r="229" spans="1:7" x14ac:dyDescent="0.25">
      <c r="A229" s="77" t="s">
        <v>22</v>
      </c>
      <c r="B229" s="21" t="s">
        <v>88</v>
      </c>
      <c r="C229" s="21" t="s">
        <v>216</v>
      </c>
      <c r="D229" s="22">
        <v>800</v>
      </c>
      <c r="E229" s="120">
        <f>81425.9+16640.1-70000-1700+50044.3+29000+20000+31500</f>
        <v>156910.29999999999</v>
      </c>
      <c r="F229" s="120">
        <f>58519.2+18474.2+20000-25529.2</f>
        <v>71464.2</v>
      </c>
      <c r="G229" s="20">
        <v>20000</v>
      </c>
    </row>
    <row r="230" spans="1:7" ht="60" x14ac:dyDescent="0.25">
      <c r="A230" s="88" t="s">
        <v>634</v>
      </c>
      <c r="B230" s="86" t="s">
        <v>88</v>
      </c>
      <c r="C230" s="86" t="s">
        <v>636</v>
      </c>
      <c r="D230" s="87"/>
      <c r="E230" s="120">
        <f>E231</f>
        <v>2101.9</v>
      </c>
      <c r="F230" s="120">
        <f t="shared" ref="F230:G230" si="60">F231</f>
        <v>0</v>
      </c>
      <c r="G230" s="120">
        <f t="shared" si="60"/>
        <v>0</v>
      </c>
    </row>
    <row r="231" spans="1:7" x14ac:dyDescent="0.25">
      <c r="A231" s="82" t="s">
        <v>22</v>
      </c>
      <c r="B231" s="86" t="s">
        <v>88</v>
      </c>
      <c r="C231" s="86" t="s">
        <v>636</v>
      </c>
      <c r="D231" s="87">
        <v>800</v>
      </c>
      <c r="E231" s="120">
        <v>2101.9</v>
      </c>
      <c r="F231" s="120"/>
      <c r="G231" s="120"/>
    </row>
    <row r="232" spans="1:7" ht="47.25" x14ac:dyDescent="0.25">
      <c r="A232" s="145" t="s">
        <v>635</v>
      </c>
      <c r="B232" s="86" t="s">
        <v>88</v>
      </c>
      <c r="C232" s="86" t="s">
        <v>637</v>
      </c>
      <c r="D232" s="87"/>
      <c r="E232" s="120">
        <f>E233</f>
        <v>16517.5</v>
      </c>
      <c r="F232" s="120">
        <f t="shared" ref="F232:G232" si="61">F233</f>
        <v>0</v>
      </c>
      <c r="G232" s="120">
        <f t="shared" si="61"/>
        <v>0</v>
      </c>
    </row>
    <row r="233" spans="1:7" x14ac:dyDescent="0.25">
      <c r="A233" s="82" t="s">
        <v>22</v>
      </c>
      <c r="B233" s="86" t="s">
        <v>88</v>
      </c>
      <c r="C233" s="86" t="s">
        <v>637</v>
      </c>
      <c r="D233" s="87">
        <v>800</v>
      </c>
      <c r="E233" s="120">
        <f>92.1+16425.4</f>
        <v>16517.5</v>
      </c>
      <c r="F233" s="120"/>
      <c r="G233" s="120"/>
    </row>
    <row r="234" spans="1:7" ht="30" x14ac:dyDescent="0.25">
      <c r="A234" s="82" t="s">
        <v>440</v>
      </c>
      <c r="B234" s="86" t="s">
        <v>88</v>
      </c>
      <c r="C234" s="86" t="s">
        <v>441</v>
      </c>
      <c r="D234" s="87"/>
      <c r="E234" s="120">
        <f>SUM(E235)</f>
        <v>0</v>
      </c>
      <c r="F234" s="120">
        <f t="shared" ref="F234:G234" si="62">SUM(F235)</f>
        <v>3125</v>
      </c>
      <c r="G234" s="120">
        <f t="shared" si="62"/>
        <v>2500</v>
      </c>
    </row>
    <row r="235" spans="1:7" x14ac:dyDescent="0.25">
      <c r="A235" s="82" t="s">
        <v>22</v>
      </c>
      <c r="B235" s="86" t="s">
        <v>88</v>
      </c>
      <c r="C235" s="86" t="s">
        <v>441</v>
      </c>
      <c r="D235" s="87">
        <v>800</v>
      </c>
      <c r="E235" s="120">
        <f>475.3-475.3</f>
        <v>0</v>
      </c>
      <c r="F235" s="120">
        <v>3125</v>
      </c>
      <c r="G235" s="120">
        <v>2500</v>
      </c>
    </row>
    <row r="236" spans="1:7" ht="60" x14ac:dyDescent="0.25">
      <c r="A236" s="74" t="s">
        <v>442</v>
      </c>
      <c r="B236" s="86" t="s">
        <v>88</v>
      </c>
      <c r="C236" s="86" t="s">
        <v>421</v>
      </c>
      <c r="D236" s="87"/>
      <c r="E236" s="59">
        <f>E237</f>
        <v>61051.599999999991</v>
      </c>
      <c r="F236" s="59">
        <f>F237</f>
        <v>54725.199999999983</v>
      </c>
      <c r="G236" s="20">
        <f>G237</f>
        <v>111748.29999999999</v>
      </c>
    </row>
    <row r="237" spans="1:7" x14ac:dyDescent="0.25">
      <c r="A237" s="82" t="s">
        <v>22</v>
      </c>
      <c r="B237" s="86" t="s">
        <v>88</v>
      </c>
      <c r="C237" s="86" t="s">
        <v>421</v>
      </c>
      <c r="D237" s="87">
        <v>800</v>
      </c>
      <c r="E237" s="120">
        <f>127736-16640.1-50044.3</f>
        <v>61051.599999999991</v>
      </c>
      <c r="F237" s="120">
        <f>156944-18474.2-83744.6</f>
        <v>54725.199999999983</v>
      </c>
      <c r="G237" s="120">
        <f>169736.9-57988.6</f>
        <v>111748.29999999999</v>
      </c>
    </row>
    <row r="238" spans="1:7" ht="90" x14ac:dyDescent="0.25">
      <c r="A238" s="74" t="s">
        <v>443</v>
      </c>
      <c r="B238" s="86" t="s">
        <v>88</v>
      </c>
      <c r="C238" s="86" t="s">
        <v>422</v>
      </c>
      <c r="D238" s="87"/>
      <c r="E238" s="59">
        <f>E239</f>
        <v>0</v>
      </c>
      <c r="F238" s="59">
        <f t="shared" ref="F238:G238" si="63">F239</f>
        <v>2101.9</v>
      </c>
      <c r="G238" s="59">
        <f t="shared" si="63"/>
        <v>1285.4000000000001</v>
      </c>
    </row>
    <row r="239" spans="1:7" x14ac:dyDescent="0.25">
      <c r="A239" s="82" t="s">
        <v>22</v>
      </c>
      <c r="B239" s="86" t="s">
        <v>88</v>
      </c>
      <c r="C239" s="86" t="s">
        <v>422</v>
      </c>
      <c r="D239" s="87">
        <v>800</v>
      </c>
      <c r="E239" s="120">
        <f>2101.9-2101.9</f>
        <v>0</v>
      </c>
      <c r="F239" s="120">
        <v>2101.9</v>
      </c>
      <c r="G239" s="120">
        <v>1285.4000000000001</v>
      </c>
    </row>
    <row r="240" spans="1:7" ht="75" x14ac:dyDescent="0.25">
      <c r="A240" s="74" t="s">
        <v>444</v>
      </c>
      <c r="B240" s="86" t="s">
        <v>88</v>
      </c>
      <c r="C240" s="86" t="s">
        <v>423</v>
      </c>
      <c r="D240" s="87"/>
      <c r="E240" s="59">
        <f>E241</f>
        <v>21683.5</v>
      </c>
      <c r="F240" s="59">
        <f t="shared" ref="F240:G240" si="64">F241</f>
        <v>32451.599999999999</v>
      </c>
      <c r="G240" s="59">
        <f t="shared" si="64"/>
        <v>19846.099999999999</v>
      </c>
    </row>
    <row r="241" spans="1:7" x14ac:dyDescent="0.25">
      <c r="A241" s="82" t="s">
        <v>22</v>
      </c>
      <c r="B241" s="86" t="s">
        <v>88</v>
      </c>
      <c r="C241" s="86" t="s">
        <v>423</v>
      </c>
      <c r="D241" s="87">
        <v>800</v>
      </c>
      <c r="E241" s="120">
        <f>38108.9-16425.4</f>
        <v>21683.5</v>
      </c>
      <c r="F241" s="120">
        <v>32451.599999999999</v>
      </c>
      <c r="G241" s="120">
        <v>19846.099999999999</v>
      </c>
    </row>
    <row r="242" spans="1:7" x14ac:dyDescent="0.25">
      <c r="A242" s="74" t="s">
        <v>530</v>
      </c>
      <c r="B242" s="86" t="s">
        <v>88</v>
      </c>
      <c r="C242" s="86" t="s">
        <v>531</v>
      </c>
      <c r="D242" s="87"/>
      <c r="E242" s="120">
        <f>E243</f>
        <v>837.9</v>
      </c>
      <c r="F242" s="120">
        <f t="shared" ref="F242:G242" si="65">F243</f>
        <v>0</v>
      </c>
      <c r="G242" s="120">
        <f t="shared" si="65"/>
        <v>0</v>
      </c>
    </row>
    <row r="243" spans="1:7" ht="30" x14ac:dyDescent="0.25">
      <c r="A243" s="65" t="s">
        <v>21</v>
      </c>
      <c r="B243" s="86" t="s">
        <v>88</v>
      </c>
      <c r="C243" s="86" t="s">
        <v>531</v>
      </c>
      <c r="D243" s="87">
        <v>200</v>
      </c>
      <c r="E243" s="120">
        <v>837.9</v>
      </c>
      <c r="F243" s="120">
        <v>0</v>
      </c>
      <c r="G243" s="120">
        <v>0</v>
      </c>
    </row>
    <row r="244" spans="1:7" ht="30" x14ac:dyDescent="0.25">
      <c r="A244" s="72" t="s">
        <v>432</v>
      </c>
      <c r="B244" s="15" t="s">
        <v>88</v>
      </c>
      <c r="C244" s="16" t="s">
        <v>69</v>
      </c>
      <c r="D244" s="87"/>
      <c r="E244" s="120">
        <f>SUM(E245)</f>
        <v>0</v>
      </c>
      <c r="F244" s="120">
        <f t="shared" ref="F244:G247" si="66">SUM(F245)</f>
        <v>6832.8</v>
      </c>
      <c r="G244" s="120">
        <f t="shared" si="66"/>
        <v>7106.1</v>
      </c>
    </row>
    <row r="245" spans="1:7" ht="30" x14ac:dyDescent="0.25">
      <c r="A245" s="72" t="s">
        <v>242</v>
      </c>
      <c r="B245" s="15" t="s">
        <v>88</v>
      </c>
      <c r="C245" s="16" t="s">
        <v>243</v>
      </c>
      <c r="D245" s="87"/>
      <c r="E245" s="120">
        <f>SUM(E246)</f>
        <v>0</v>
      </c>
      <c r="F245" s="120">
        <f t="shared" si="66"/>
        <v>6832.8</v>
      </c>
      <c r="G245" s="120">
        <f t="shared" si="66"/>
        <v>7106.1</v>
      </c>
    </row>
    <row r="246" spans="1:7" ht="30" x14ac:dyDescent="0.25">
      <c r="A246" s="72" t="s">
        <v>244</v>
      </c>
      <c r="B246" s="15" t="s">
        <v>88</v>
      </c>
      <c r="C246" s="16" t="s">
        <v>245</v>
      </c>
      <c r="D246" s="87"/>
      <c r="E246" s="120">
        <f>SUM(E247)</f>
        <v>0</v>
      </c>
      <c r="F246" s="120">
        <f t="shared" si="66"/>
        <v>6832.8</v>
      </c>
      <c r="G246" s="120">
        <f t="shared" si="66"/>
        <v>7106.1</v>
      </c>
    </row>
    <row r="247" spans="1:7" ht="30" x14ac:dyDescent="0.25">
      <c r="A247" s="72" t="s">
        <v>445</v>
      </c>
      <c r="B247" s="15" t="s">
        <v>88</v>
      </c>
      <c r="C247" s="16" t="s">
        <v>446</v>
      </c>
      <c r="D247" s="87"/>
      <c r="E247" s="120">
        <f>SUM(E248)</f>
        <v>0</v>
      </c>
      <c r="F247" s="120">
        <f t="shared" si="66"/>
        <v>6832.8</v>
      </c>
      <c r="G247" s="120">
        <f t="shared" si="66"/>
        <v>7106.1</v>
      </c>
    </row>
    <row r="248" spans="1:7" ht="30" x14ac:dyDescent="0.25">
      <c r="A248" s="65" t="s">
        <v>21</v>
      </c>
      <c r="B248" s="15" t="s">
        <v>88</v>
      </c>
      <c r="C248" s="16" t="s">
        <v>446</v>
      </c>
      <c r="D248" s="87">
        <v>200</v>
      </c>
      <c r="E248" s="120">
        <f>23620.5-8500-1999.2-8000-5121.3</f>
        <v>0</v>
      </c>
      <c r="F248" s="120">
        <v>6832.8</v>
      </c>
      <c r="G248" s="120">
        <v>7106.1</v>
      </c>
    </row>
    <row r="249" spans="1:7" x14ac:dyDescent="0.25">
      <c r="A249" s="80" t="s">
        <v>98</v>
      </c>
      <c r="B249" s="24" t="s">
        <v>99</v>
      </c>
      <c r="C249" s="24"/>
      <c r="D249" s="25"/>
      <c r="E249" s="12">
        <f>SUM(E250+E264)</f>
        <v>902855.20000000007</v>
      </c>
      <c r="F249" s="12">
        <f>SUM(F250+F264)</f>
        <v>336978.2</v>
      </c>
      <c r="G249" s="12">
        <f>SUM(G250+G264)</f>
        <v>213334.9</v>
      </c>
    </row>
    <row r="250" spans="1:7" ht="30" x14ac:dyDescent="0.25">
      <c r="A250" s="74" t="s">
        <v>451</v>
      </c>
      <c r="B250" s="86" t="s">
        <v>99</v>
      </c>
      <c r="C250" s="86" t="s">
        <v>111</v>
      </c>
      <c r="D250" s="87"/>
      <c r="E250" s="120">
        <f>SUM(E251+E255)</f>
        <v>891352.3</v>
      </c>
      <c r="F250" s="120">
        <f t="shared" ref="F250:G250" si="67">SUM(F251+F255)</f>
        <v>313020.7</v>
      </c>
      <c r="G250" s="120">
        <f t="shared" si="67"/>
        <v>212667.9</v>
      </c>
    </row>
    <row r="251" spans="1:7" x14ac:dyDescent="0.25">
      <c r="A251" s="74" t="s">
        <v>452</v>
      </c>
      <c r="B251" s="86" t="s">
        <v>99</v>
      </c>
      <c r="C251" s="86" t="s">
        <v>112</v>
      </c>
      <c r="D251" s="87"/>
      <c r="E251" s="120">
        <f>SUM(E252)</f>
        <v>800000</v>
      </c>
      <c r="F251" s="120">
        <f t="shared" ref="F251:G253" si="68">SUM(F252)</f>
        <v>300000</v>
      </c>
      <c r="G251" s="120">
        <f t="shared" si="68"/>
        <v>200000</v>
      </c>
    </row>
    <row r="252" spans="1:7" ht="30" x14ac:dyDescent="0.25">
      <c r="A252" s="82" t="s">
        <v>453</v>
      </c>
      <c r="B252" s="86" t="s">
        <v>99</v>
      </c>
      <c r="C252" s="86" t="s">
        <v>455</v>
      </c>
      <c r="D252" s="87"/>
      <c r="E252" s="120">
        <f>SUM(E253)</f>
        <v>800000</v>
      </c>
      <c r="F252" s="120">
        <f t="shared" si="68"/>
        <v>300000</v>
      </c>
      <c r="G252" s="120">
        <f t="shared" si="68"/>
        <v>200000</v>
      </c>
    </row>
    <row r="253" spans="1:7" ht="45" x14ac:dyDescent="0.25">
      <c r="A253" s="88" t="s">
        <v>454</v>
      </c>
      <c r="B253" s="86" t="s">
        <v>99</v>
      </c>
      <c r="C253" s="86" t="s">
        <v>456</v>
      </c>
      <c r="D253" s="87"/>
      <c r="E253" s="120">
        <f>SUM(E254)</f>
        <v>800000</v>
      </c>
      <c r="F253" s="120">
        <f t="shared" si="68"/>
        <v>300000</v>
      </c>
      <c r="G253" s="120">
        <f t="shared" si="68"/>
        <v>200000</v>
      </c>
    </row>
    <row r="254" spans="1:7" ht="30" x14ac:dyDescent="0.25">
      <c r="A254" s="157" t="s">
        <v>705</v>
      </c>
      <c r="B254" s="86" t="s">
        <v>99</v>
      </c>
      <c r="C254" s="86" t="s">
        <v>456</v>
      </c>
      <c r="D254" s="87">
        <v>400</v>
      </c>
      <c r="E254" s="120">
        <f>SUM(6000+94000)+300000+19149+22851.1+358000-0.1</f>
        <v>800000</v>
      </c>
      <c r="F254" s="120">
        <f>SUM(18000+282000)</f>
        <v>300000</v>
      </c>
      <c r="G254" s="120">
        <f>12000+188000</f>
        <v>200000</v>
      </c>
    </row>
    <row r="255" spans="1:7" ht="30" x14ac:dyDescent="0.25">
      <c r="A255" s="82" t="s">
        <v>113</v>
      </c>
      <c r="B255" s="21" t="s">
        <v>99</v>
      </c>
      <c r="C255" s="76" t="s">
        <v>114</v>
      </c>
      <c r="D255" s="22"/>
      <c r="E255" s="58">
        <f>SUM(E256+E261)</f>
        <v>91352.3</v>
      </c>
      <c r="F255" s="58">
        <f t="shared" ref="F255:G255" si="69">SUM(F256+F261)</f>
        <v>13020.699999999999</v>
      </c>
      <c r="G255" s="58">
        <f t="shared" si="69"/>
        <v>12667.9</v>
      </c>
    </row>
    <row r="256" spans="1:7" ht="30" x14ac:dyDescent="0.25">
      <c r="A256" s="82" t="s">
        <v>115</v>
      </c>
      <c r="B256" s="21" t="s">
        <v>99</v>
      </c>
      <c r="C256" s="76" t="s">
        <v>116</v>
      </c>
      <c r="D256" s="22"/>
      <c r="E256" s="58">
        <f>E257+E259</f>
        <v>91352.3</v>
      </c>
      <c r="F256" s="58">
        <f t="shared" ref="F256:G256" si="70">F257+F259</f>
        <v>12875.4</v>
      </c>
      <c r="G256" s="58">
        <f t="shared" si="70"/>
        <v>12617.9</v>
      </c>
    </row>
    <row r="257" spans="1:7" ht="45" x14ac:dyDescent="0.25">
      <c r="A257" s="82" t="s">
        <v>117</v>
      </c>
      <c r="B257" s="21" t="s">
        <v>99</v>
      </c>
      <c r="C257" s="76" t="s">
        <v>118</v>
      </c>
      <c r="D257" s="22"/>
      <c r="E257" s="58">
        <f>SUM(E258)</f>
        <v>0</v>
      </c>
      <c r="F257" s="58">
        <f>SUM(F258)</f>
        <v>389.3</v>
      </c>
      <c r="G257" s="58">
        <f>SUM(G258)</f>
        <v>131.80000000000001</v>
      </c>
    </row>
    <row r="258" spans="1:7" ht="30" x14ac:dyDescent="0.25">
      <c r="A258" s="1" t="s">
        <v>21</v>
      </c>
      <c r="B258" s="21" t="s">
        <v>99</v>
      </c>
      <c r="C258" s="76" t="s">
        <v>118</v>
      </c>
      <c r="D258" s="22">
        <v>200</v>
      </c>
      <c r="E258" s="120">
        <f>1957.8-1957.8</f>
        <v>0</v>
      </c>
      <c r="F258" s="120">
        <v>389.3</v>
      </c>
      <c r="G258" s="120">
        <v>131.80000000000001</v>
      </c>
    </row>
    <row r="259" spans="1:7" ht="75" x14ac:dyDescent="0.25">
      <c r="A259" s="85" t="s">
        <v>457</v>
      </c>
      <c r="B259" s="86" t="s">
        <v>99</v>
      </c>
      <c r="C259" s="86" t="s">
        <v>458</v>
      </c>
      <c r="D259" s="87"/>
      <c r="E259" s="120">
        <f>SUM(E260)</f>
        <v>91352.3</v>
      </c>
      <c r="F259" s="120">
        <f t="shared" ref="F259:G259" si="71">SUM(F260)</f>
        <v>12486.1</v>
      </c>
      <c r="G259" s="120">
        <f t="shared" si="71"/>
        <v>12486.1</v>
      </c>
    </row>
    <row r="260" spans="1:7" x14ac:dyDescent="0.25">
      <c r="A260" s="77" t="s">
        <v>22</v>
      </c>
      <c r="B260" s="86" t="s">
        <v>99</v>
      </c>
      <c r="C260" s="86" t="s">
        <v>458</v>
      </c>
      <c r="D260" s="87">
        <v>800</v>
      </c>
      <c r="E260" s="120">
        <f>9473.7+1122.6+16000+60871.2+1253.1+2632.3-0.6</f>
        <v>91352.3</v>
      </c>
      <c r="F260" s="120">
        <f>9473.7+275.5+2736.9</f>
        <v>12486.1</v>
      </c>
      <c r="G260" s="120">
        <f>9473.7+275.5+2736.9</f>
        <v>12486.1</v>
      </c>
    </row>
    <row r="261" spans="1:7" ht="30" x14ac:dyDescent="0.25">
      <c r="A261" s="23" t="s">
        <v>119</v>
      </c>
      <c r="B261" s="21" t="s">
        <v>99</v>
      </c>
      <c r="C261" s="21" t="s">
        <v>120</v>
      </c>
      <c r="D261" s="22"/>
      <c r="E261" s="120">
        <f>SUM(E262)</f>
        <v>0</v>
      </c>
      <c r="F261" s="120">
        <f t="shared" ref="F261:G262" si="72">SUM(F262)</f>
        <v>145.30000000000001</v>
      </c>
      <c r="G261" s="120">
        <f t="shared" si="72"/>
        <v>50</v>
      </c>
    </row>
    <row r="262" spans="1:7" ht="30" x14ac:dyDescent="0.25">
      <c r="A262" s="23" t="s">
        <v>121</v>
      </c>
      <c r="B262" s="21" t="s">
        <v>99</v>
      </c>
      <c r="C262" s="21" t="s">
        <v>122</v>
      </c>
      <c r="D262" s="22"/>
      <c r="E262" s="120">
        <f>SUM(E263)</f>
        <v>0</v>
      </c>
      <c r="F262" s="120">
        <f t="shared" si="72"/>
        <v>145.30000000000001</v>
      </c>
      <c r="G262" s="120">
        <f t="shared" si="72"/>
        <v>50</v>
      </c>
    </row>
    <row r="263" spans="1:7" ht="30" x14ac:dyDescent="0.25">
      <c r="A263" s="23" t="s">
        <v>56</v>
      </c>
      <c r="B263" s="21" t="s">
        <v>99</v>
      </c>
      <c r="C263" s="21" t="s">
        <v>122</v>
      </c>
      <c r="D263" s="22">
        <v>600</v>
      </c>
      <c r="E263" s="120">
        <f>145.3-145.3</f>
        <v>0</v>
      </c>
      <c r="F263" s="120">
        <v>145.30000000000001</v>
      </c>
      <c r="G263" s="120">
        <v>50</v>
      </c>
    </row>
    <row r="264" spans="1:7" ht="50.25" customHeight="1" x14ac:dyDescent="0.25">
      <c r="A264" s="74" t="s">
        <v>459</v>
      </c>
      <c r="B264" s="21" t="s">
        <v>99</v>
      </c>
      <c r="C264" s="76" t="s">
        <v>100</v>
      </c>
      <c r="D264" s="83"/>
      <c r="E264" s="58">
        <f>SUM(E265+E268)</f>
        <v>11502.9</v>
      </c>
      <c r="F264" s="58">
        <f>SUM(F265+F268)</f>
        <v>23957.500000000004</v>
      </c>
      <c r="G264" s="58">
        <f>SUM(G265+G268)</f>
        <v>667</v>
      </c>
    </row>
    <row r="265" spans="1:7" ht="30" x14ac:dyDescent="0.25">
      <c r="A265" s="74" t="s">
        <v>101</v>
      </c>
      <c r="B265" s="86" t="s">
        <v>99</v>
      </c>
      <c r="C265" s="86" t="s">
        <v>102</v>
      </c>
      <c r="D265" s="87"/>
      <c r="E265" s="120">
        <f>SUM(E266)</f>
        <v>340.4</v>
      </c>
      <c r="F265" s="120">
        <f t="shared" ref="F265:G266" si="73">SUM(F266)</f>
        <v>484.4</v>
      </c>
      <c r="G265" s="120">
        <f t="shared" si="73"/>
        <v>296.2</v>
      </c>
    </row>
    <row r="266" spans="1:7" ht="45" x14ac:dyDescent="0.25">
      <c r="A266" s="74" t="s">
        <v>103</v>
      </c>
      <c r="B266" s="86" t="s">
        <v>99</v>
      </c>
      <c r="C266" s="86" t="s">
        <v>104</v>
      </c>
      <c r="D266" s="87"/>
      <c r="E266" s="120">
        <f>SUM(E267)</f>
        <v>340.4</v>
      </c>
      <c r="F266" s="120">
        <f t="shared" si="73"/>
        <v>484.4</v>
      </c>
      <c r="G266" s="120">
        <f t="shared" si="73"/>
        <v>296.2</v>
      </c>
    </row>
    <row r="267" spans="1:7" ht="30" x14ac:dyDescent="0.25">
      <c r="A267" s="1" t="s">
        <v>21</v>
      </c>
      <c r="B267" s="86" t="s">
        <v>99</v>
      </c>
      <c r="C267" s="86" t="s">
        <v>104</v>
      </c>
      <c r="D267" s="87">
        <v>200</v>
      </c>
      <c r="E267" s="120">
        <f>804.4-376-20.7-67.3</f>
        <v>340.4</v>
      </c>
      <c r="F267" s="120">
        <v>484.4</v>
      </c>
      <c r="G267" s="120">
        <v>296.2</v>
      </c>
    </row>
    <row r="268" spans="1:7" ht="30" x14ac:dyDescent="0.25">
      <c r="A268" s="82" t="s">
        <v>105</v>
      </c>
      <c r="B268" s="86" t="s">
        <v>99</v>
      </c>
      <c r="C268" s="86" t="s">
        <v>106</v>
      </c>
      <c r="D268" s="87"/>
      <c r="E268" s="120">
        <f>SUM(E269+E271+E273)</f>
        <v>11162.5</v>
      </c>
      <c r="F268" s="120">
        <f t="shared" ref="F268:G268" si="74">SUM(F269+F271+F273)</f>
        <v>23473.100000000002</v>
      </c>
      <c r="G268" s="120">
        <f t="shared" si="74"/>
        <v>370.8</v>
      </c>
    </row>
    <row r="269" spans="1:7" ht="45" x14ac:dyDescent="0.25">
      <c r="A269" s="82" t="s">
        <v>107</v>
      </c>
      <c r="B269" s="86" t="s">
        <v>99</v>
      </c>
      <c r="C269" s="86" t="s">
        <v>108</v>
      </c>
      <c r="D269" s="87"/>
      <c r="E269" s="120">
        <f>SUM(E270)</f>
        <v>0</v>
      </c>
      <c r="F269" s="120">
        <f t="shared" ref="F269:G269" si="75">SUM(F270)</f>
        <v>115.7</v>
      </c>
      <c r="G269" s="120">
        <f t="shared" si="75"/>
        <v>70.8</v>
      </c>
    </row>
    <row r="270" spans="1:7" ht="30" x14ac:dyDescent="0.25">
      <c r="A270" s="1" t="s">
        <v>21</v>
      </c>
      <c r="B270" s="86" t="s">
        <v>99</v>
      </c>
      <c r="C270" s="86" t="s">
        <v>108</v>
      </c>
      <c r="D270" s="87">
        <v>200</v>
      </c>
      <c r="E270" s="120">
        <f>115.7-115.7</f>
        <v>0</v>
      </c>
      <c r="F270" s="120">
        <v>115.7</v>
      </c>
      <c r="G270" s="120">
        <v>70.8</v>
      </c>
    </row>
    <row r="271" spans="1:7" ht="60" x14ac:dyDescent="0.25">
      <c r="A271" s="82" t="s">
        <v>109</v>
      </c>
      <c r="B271" s="21" t="s">
        <v>99</v>
      </c>
      <c r="C271" s="21" t="s">
        <v>110</v>
      </c>
      <c r="D271" s="22"/>
      <c r="E271" s="58">
        <f>SUM(E272)</f>
        <v>7586.4999999999991</v>
      </c>
      <c r="F271" s="58">
        <f>SUM(F272)</f>
        <v>23357.4</v>
      </c>
      <c r="G271" s="58">
        <f>SUM(G272)</f>
        <v>300</v>
      </c>
    </row>
    <row r="272" spans="1:7" ht="30" x14ac:dyDescent="0.25">
      <c r="A272" s="1" t="s">
        <v>21</v>
      </c>
      <c r="B272" s="21" t="s">
        <v>99</v>
      </c>
      <c r="C272" s="21" t="s">
        <v>110</v>
      </c>
      <c r="D272" s="22">
        <v>200</v>
      </c>
      <c r="E272" s="120">
        <f>12862.6-4459.6-34.7-759.3-22.5</f>
        <v>7586.4999999999991</v>
      </c>
      <c r="F272" s="120">
        <v>23357.4</v>
      </c>
      <c r="G272" s="120">
        <v>300</v>
      </c>
    </row>
    <row r="273" spans="1:7" x14ac:dyDescent="0.25">
      <c r="A273" s="65" t="s">
        <v>460</v>
      </c>
      <c r="B273" s="86" t="s">
        <v>99</v>
      </c>
      <c r="C273" s="86" t="s">
        <v>461</v>
      </c>
      <c r="D273" s="87"/>
      <c r="E273" s="120">
        <f>SUM(E274)</f>
        <v>3576</v>
      </c>
      <c r="F273" s="120">
        <f t="shared" ref="F273:G273" si="76">SUM(F274)</f>
        <v>0</v>
      </c>
      <c r="G273" s="120">
        <f t="shared" si="76"/>
        <v>0</v>
      </c>
    </row>
    <row r="274" spans="1:7" ht="30" x14ac:dyDescent="0.25">
      <c r="A274" s="65" t="s">
        <v>21</v>
      </c>
      <c r="B274" s="86" t="s">
        <v>99</v>
      </c>
      <c r="C274" s="86" t="s">
        <v>461</v>
      </c>
      <c r="D274" s="87">
        <v>200</v>
      </c>
      <c r="E274" s="120">
        <f>14267.9-10691.9</f>
        <v>3576</v>
      </c>
      <c r="F274" s="120">
        <v>0</v>
      </c>
      <c r="G274" s="120">
        <v>0</v>
      </c>
    </row>
    <row r="275" spans="1:7" x14ac:dyDescent="0.25">
      <c r="A275" s="80" t="s">
        <v>123</v>
      </c>
      <c r="B275" s="24" t="s">
        <v>124</v>
      </c>
      <c r="C275" s="24"/>
      <c r="D275" s="25"/>
      <c r="E275" s="12">
        <f>E276+E327+E396+E440</f>
        <v>1930307.7000000002</v>
      </c>
      <c r="F275" s="12">
        <f>F276+F327+F396+F440</f>
        <v>1703389.9000000001</v>
      </c>
      <c r="G275" s="12">
        <f>G276+G327+G396+G440</f>
        <v>1067095.3999999999</v>
      </c>
    </row>
    <row r="276" spans="1:7" x14ac:dyDescent="0.25">
      <c r="A276" s="80" t="s">
        <v>125</v>
      </c>
      <c r="B276" s="24" t="s">
        <v>126</v>
      </c>
      <c r="C276" s="24"/>
      <c r="D276" s="25"/>
      <c r="E276" s="12">
        <f>SUM(E307)+E277+E285</f>
        <v>298131.5</v>
      </c>
      <c r="F276" s="12">
        <f>SUM(F307)+F277+F285</f>
        <v>115573.90000000002</v>
      </c>
      <c r="G276" s="12">
        <f>SUM(G307)+G277+G285</f>
        <v>25081.499999999996</v>
      </c>
    </row>
    <row r="277" spans="1:7" x14ac:dyDescent="0.25">
      <c r="A277" s="90" t="s">
        <v>10</v>
      </c>
      <c r="B277" s="21" t="s">
        <v>126</v>
      </c>
      <c r="C277" s="21" t="s">
        <v>11</v>
      </c>
      <c r="D277" s="22"/>
      <c r="E277" s="58">
        <f>SUM(E283)+E281+E278</f>
        <v>12300.6</v>
      </c>
      <c r="F277" s="58">
        <f t="shared" ref="F277:G277" si="77">SUM(F283)+F281+F278</f>
        <v>1800</v>
      </c>
      <c r="G277" s="58">
        <f t="shared" si="77"/>
        <v>1800</v>
      </c>
    </row>
    <row r="278" spans="1:7" s="155" customFormat="1" x14ac:dyDescent="0.25">
      <c r="A278" s="65" t="s">
        <v>208</v>
      </c>
      <c r="B278" s="15" t="s">
        <v>126</v>
      </c>
      <c r="C278" s="144" t="s">
        <v>209</v>
      </c>
      <c r="D278" s="87"/>
      <c r="E278" s="58">
        <f>E279</f>
        <v>874.1</v>
      </c>
      <c r="F278" s="58">
        <f t="shared" ref="F278:G278" si="78">F279</f>
        <v>0</v>
      </c>
      <c r="G278" s="58">
        <f t="shared" si="78"/>
        <v>0</v>
      </c>
    </row>
    <row r="279" spans="1:7" s="155" customFormat="1" x14ac:dyDescent="0.25">
      <c r="A279" s="82" t="s">
        <v>22</v>
      </c>
      <c r="B279" s="15" t="s">
        <v>126</v>
      </c>
      <c r="C279" s="144" t="s">
        <v>209</v>
      </c>
      <c r="D279" s="87">
        <v>800</v>
      </c>
      <c r="E279" s="58">
        <v>874.1</v>
      </c>
      <c r="F279" s="58">
        <v>0</v>
      </c>
      <c r="G279" s="58">
        <v>0</v>
      </c>
    </row>
    <row r="280" spans="1:7" x14ac:dyDescent="0.25">
      <c r="A280" s="90" t="s">
        <v>570</v>
      </c>
      <c r="B280" s="21" t="s">
        <v>126</v>
      </c>
      <c r="C280" s="21" t="s">
        <v>571</v>
      </c>
      <c r="D280" s="22"/>
      <c r="E280" s="58">
        <f>SUM(E281)</f>
        <v>11426.5</v>
      </c>
      <c r="F280" s="58">
        <f t="shared" ref="F280:G280" si="79">SUM(F281)</f>
        <v>0</v>
      </c>
      <c r="G280" s="58">
        <f t="shared" si="79"/>
        <v>0</v>
      </c>
    </row>
    <row r="281" spans="1:7" ht="74.25" customHeight="1" x14ac:dyDescent="0.25">
      <c r="A281" s="74" t="s">
        <v>583</v>
      </c>
      <c r="B281" s="86" t="s">
        <v>126</v>
      </c>
      <c r="C281" s="86" t="s">
        <v>584</v>
      </c>
      <c r="D281" s="87"/>
      <c r="E281" s="120">
        <f>SUM(E282)</f>
        <v>11426.5</v>
      </c>
      <c r="F281" s="120">
        <f t="shared" ref="F281:G281" si="80">SUM(F282)</f>
        <v>0</v>
      </c>
      <c r="G281" s="120">
        <f t="shared" si="80"/>
        <v>0</v>
      </c>
    </row>
    <row r="282" spans="1:7" x14ac:dyDescent="0.25">
      <c r="A282" s="82" t="s">
        <v>22</v>
      </c>
      <c r="B282" s="86" t="s">
        <v>126</v>
      </c>
      <c r="C282" s="86" t="s">
        <v>584</v>
      </c>
      <c r="D282" s="87">
        <v>800</v>
      </c>
      <c r="E282" s="120">
        <f>5300-3980.5+10107</f>
        <v>11426.5</v>
      </c>
      <c r="F282" s="120">
        <v>0</v>
      </c>
      <c r="G282" s="120">
        <v>0</v>
      </c>
    </row>
    <row r="283" spans="1:7" ht="16.5" customHeight="1" x14ac:dyDescent="0.25">
      <c r="A283" s="90" t="s">
        <v>355</v>
      </c>
      <c r="B283" s="21" t="s">
        <v>126</v>
      </c>
      <c r="C283" s="21" t="s">
        <v>356</v>
      </c>
      <c r="D283" s="22"/>
      <c r="E283" s="58">
        <f t="shared" ref="E283:G283" si="81">SUM(E284)</f>
        <v>0</v>
      </c>
      <c r="F283" s="58">
        <f t="shared" si="81"/>
        <v>1800</v>
      </c>
      <c r="G283" s="58">
        <f t="shared" si="81"/>
        <v>1800</v>
      </c>
    </row>
    <row r="284" spans="1:7" ht="30" x14ac:dyDescent="0.25">
      <c r="A284" s="157" t="s">
        <v>705</v>
      </c>
      <c r="B284" s="21" t="s">
        <v>126</v>
      </c>
      <c r="C284" s="21" t="s">
        <v>356</v>
      </c>
      <c r="D284" s="22">
        <v>400</v>
      </c>
      <c r="E284" s="120">
        <f>1800-1800</f>
        <v>0</v>
      </c>
      <c r="F284" s="120">
        <v>1800</v>
      </c>
      <c r="G284" s="120">
        <v>1800</v>
      </c>
    </row>
    <row r="285" spans="1:7" ht="30" x14ac:dyDescent="0.25">
      <c r="A285" s="74" t="s">
        <v>447</v>
      </c>
      <c r="B285" s="21" t="s">
        <v>126</v>
      </c>
      <c r="C285" s="76" t="s">
        <v>217</v>
      </c>
      <c r="D285" s="83"/>
      <c r="E285" s="58">
        <f>SUM(E303)+E286</f>
        <v>256909.1</v>
      </c>
      <c r="F285" s="58">
        <f>SUM(F303)+F286</f>
        <v>88352.500000000015</v>
      </c>
      <c r="G285" s="58">
        <f>SUM(G303)+G286</f>
        <v>789.3</v>
      </c>
    </row>
    <row r="286" spans="1:7" ht="30" x14ac:dyDescent="0.25">
      <c r="A286" s="74" t="s">
        <v>218</v>
      </c>
      <c r="B286" s="21" t="s">
        <v>126</v>
      </c>
      <c r="C286" s="76" t="s">
        <v>376</v>
      </c>
      <c r="D286" s="83"/>
      <c r="E286" s="58">
        <f>E296+E287</f>
        <v>252971.2</v>
      </c>
      <c r="F286" s="58">
        <f>F296+F287</f>
        <v>87494.400000000009</v>
      </c>
      <c r="G286" s="58">
        <f t="shared" ref="G286" si="82">G296+G287+G291</f>
        <v>264.5</v>
      </c>
    </row>
    <row r="287" spans="1:7" ht="30" x14ac:dyDescent="0.25">
      <c r="A287" s="124" t="s">
        <v>727</v>
      </c>
      <c r="B287" s="86" t="s">
        <v>126</v>
      </c>
      <c r="C287" s="86" t="s">
        <v>609</v>
      </c>
      <c r="D287" s="87"/>
      <c r="E287" s="58">
        <f>E288+E291+E294</f>
        <v>105966.40000000001</v>
      </c>
      <c r="F287" s="58">
        <f>F288+F291</f>
        <v>0</v>
      </c>
      <c r="G287" s="58">
        <f>G288+G291</f>
        <v>0</v>
      </c>
    </row>
    <row r="288" spans="1:7" ht="30" x14ac:dyDescent="0.25">
      <c r="A288" s="124" t="s">
        <v>608</v>
      </c>
      <c r="B288" s="86" t="s">
        <v>126</v>
      </c>
      <c r="C288" s="86" t="s">
        <v>610</v>
      </c>
      <c r="D288" s="87"/>
      <c r="E288" s="58">
        <f>E290+E289</f>
        <v>101682.8</v>
      </c>
      <c r="F288" s="58">
        <f t="shared" ref="F288:G288" si="83">F290+F289</f>
        <v>0</v>
      </c>
      <c r="G288" s="58">
        <f t="shared" si="83"/>
        <v>0</v>
      </c>
    </row>
    <row r="289" spans="1:7" ht="30" x14ac:dyDescent="0.25">
      <c r="A289" s="157" t="s">
        <v>705</v>
      </c>
      <c r="B289" s="86" t="s">
        <v>126</v>
      </c>
      <c r="C289" s="86" t="s">
        <v>610</v>
      </c>
      <c r="D289" s="87">
        <v>400</v>
      </c>
      <c r="E289" s="120">
        <f>15298.5-1425.6</f>
        <v>13872.9</v>
      </c>
      <c r="F289" s="58">
        <v>0</v>
      </c>
      <c r="G289" s="58">
        <v>0</v>
      </c>
    </row>
    <row r="290" spans="1:7" x14ac:dyDescent="0.25">
      <c r="A290" s="82" t="s">
        <v>22</v>
      </c>
      <c r="B290" s="86" t="s">
        <v>126</v>
      </c>
      <c r="C290" s="86" t="s">
        <v>610</v>
      </c>
      <c r="D290" s="87">
        <v>800</v>
      </c>
      <c r="E290" s="120">
        <f>86384.3+1425.6</f>
        <v>87809.900000000009</v>
      </c>
      <c r="F290" s="58">
        <f>63616.6-63616.6</f>
        <v>0</v>
      </c>
      <c r="G290" s="58">
        <v>0</v>
      </c>
    </row>
    <row r="291" spans="1:7" ht="30" x14ac:dyDescent="0.25">
      <c r="A291" s="124" t="s">
        <v>608</v>
      </c>
      <c r="B291" s="86" t="s">
        <v>126</v>
      </c>
      <c r="C291" s="86" t="s">
        <v>611</v>
      </c>
      <c r="D291" s="87"/>
      <c r="E291" s="58">
        <f>E293+E292</f>
        <v>2147.6000000000004</v>
      </c>
      <c r="F291" s="58">
        <f t="shared" ref="F291:G291" si="84">F293+F292</f>
        <v>0</v>
      </c>
      <c r="G291" s="58">
        <f t="shared" si="84"/>
        <v>0</v>
      </c>
    </row>
    <row r="292" spans="1:7" ht="30" x14ac:dyDescent="0.25">
      <c r="A292" s="157" t="s">
        <v>705</v>
      </c>
      <c r="B292" s="86" t="s">
        <v>126</v>
      </c>
      <c r="C292" s="86" t="s">
        <v>611</v>
      </c>
      <c r="D292" s="87">
        <v>400</v>
      </c>
      <c r="E292" s="58">
        <v>1279.2</v>
      </c>
      <c r="F292" s="58">
        <v>0</v>
      </c>
      <c r="G292" s="58">
        <v>0</v>
      </c>
    </row>
    <row r="293" spans="1:7" x14ac:dyDescent="0.25">
      <c r="A293" s="82" t="s">
        <v>22</v>
      </c>
      <c r="B293" s="86" t="s">
        <v>126</v>
      </c>
      <c r="C293" s="86" t="s">
        <v>611</v>
      </c>
      <c r="D293" s="87">
        <v>800</v>
      </c>
      <c r="E293" s="58">
        <f>1967.5-1099.1</f>
        <v>868.40000000000009</v>
      </c>
      <c r="F293" s="58">
        <f>1967.5-1967.5</f>
        <v>0</v>
      </c>
      <c r="G293" s="58">
        <v>0</v>
      </c>
    </row>
    <row r="294" spans="1:7" ht="30" x14ac:dyDescent="0.25">
      <c r="A294" s="124" t="s">
        <v>608</v>
      </c>
      <c r="B294" s="86" t="s">
        <v>126</v>
      </c>
      <c r="C294" s="86" t="s">
        <v>687</v>
      </c>
      <c r="D294" s="87"/>
      <c r="E294" s="58">
        <f>SUM(E295)</f>
        <v>2136</v>
      </c>
      <c r="F294" s="58"/>
      <c r="G294" s="58"/>
    </row>
    <row r="295" spans="1:7" x14ac:dyDescent="0.25">
      <c r="A295" s="82" t="s">
        <v>22</v>
      </c>
      <c r="B295" s="86" t="s">
        <v>126</v>
      </c>
      <c r="C295" s="86" t="s">
        <v>687</v>
      </c>
      <c r="D295" s="87">
        <v>800</v>
      </c>
      <c r="E295" s="58">
        <v>2136</v>
      </c>
      <c r="F295" s="58"/>
      <c r="G295" s="58"/>
    </row>
    <row r="296" spans="1:7" ht="30" x14ac:dyDescent="0.25">
      <c r="A296" s="123" t="s">
        <v>377</v>
      </c>
      <c r="B296" s="21" t="s">
        <v>126</v>
      </c>
      <c r="C296" s="76" t="s">
        <v>219</v>
      </c>
      <c r="D296" s="83"/>
      <c r="E296" s="58">
        <f>E297+E299+E301</f>
        <v>147004.80000000002</v>
      </c>
      <c r="F296" s="58">
        <f t="shared" ref="F296:G296" si="85">F297+F299+F301</f>
        <v>87494.400000000009</v>
      </c>
      <c r="G296" s="58">
        <f t="shared" si="85"/>
        <v>264.5</v>
      </c>
    </row>
    <row r="297" spans="1:7" x14ac:dyDescent="0.25">
      <c r="A297" s="75" t="s">
        <v>220</v>
      </c>
      <c r="B297" s="76" t="s">
        <v>126</v>
      </c>
      <c r="C297" s="76" t="s">
        <v>221</v>
      </c>
      <c r="D297" s="83"/>
      <c r="E297" s="20">
        <f>E298</f>
        <v>2000</v>
      </c>
      <c r="F297" s="20">
        <f t="shared" ref="F297:G297" si="86">F298</f>
        <v>432.5</v>
      </c>
      <c r="G297" s="20">
        <f t="shared" si="86"/>
        <v>264.5</v>
      </c>
    </row>
    <row r="298" spans="1:7" ht="30" x14ac:dyDescent="0.25">
      <c r="A298" s="1" t="s">
        <v>21</v>
      </c>
      <c r="B298" s="76" t="s">
        <v>126</v>
      </c>
      <c r="C298" s="76" t="s">
        <v>221</v>
      </c>
      <c r="D298" s="83">
        <v>200</v>
      </c>
      <c r="E298" s="120">
        <v>2000</v>
      </c>
      <c r="F298" s="120">
        <v>432.5</v>
      </c>
      <c r="G298" s="120">
        <v>264.5</v>
      </c>
    </row>
    <row r="299" spans="1:7" ht="45" x14ac:dyDescent="0.25">
      <c r="A299" s="124" t="s">
        <v>463</v>
      </c>
      <c r="B299" s="86" t="s">
        <v>126</v>
      </c>
      <c r="C299" s="86" t="s">
        <v>464</v>
      </c>
      <c r="D299" s="87"/>
      <c r="E299" s="120">
        <f>SUM(E300)</f>
        <v>142413.6</v>
      </c>
      <c r="F299" s="120">
        <f t="shared" ref="F299:G299" si="87">SUM(F300)</f>
        <v>85053.1</v>
      </c>
      <c r="G299" s="120">
        <f t="shared" si="87"/>
        <v>0</v>
      </c>
    </row>
    <row r="300" spans="1:7" ht="30" x14ac:dyDescent="0.25">
      <c r="A300" s="157" t="s">
        <v>705</v>
      </c>
      <c r="B300" s="86" t="s">
        <v>126</v>
      </c>
      <c r="C300" s="86" t="s">
        <v>464</v>
      </c>
      <c r="D300" s="87">
        <v>400</v>
      </c>
      <c r="E300" s="120">
        <f>227466.7-85053.1</f>
        <v>142413.6</v>
      </c>
      <c r="F300" s="120">
        <v>85053.1</v>
      </c>
      <c r="G300" s="120">
        <v>0</v>
      </c>
    </row>
    <row r="301" spans="1:7" ht="60" x14ac:dyDescent="0.25">
      <c r="A301" s="124" t="s">
        <v>465</v>
      </c>
      <c r="B301" s="86" t="s">
        <v>126</v>
      </c>
      <c r="C301" s="86" t="s">
        <v>466</v>
      </c>
      <c r="D301" s="87"/>
      <c r="E301" s="120">
        <f>SUM(E302)</f>
        <v>2591.1999999999998</v>
      </c>
      <c r="F301" s="120">
        <f t="shared" ref="F301:G301" si="88">SUM(F302)</f>
        <v>2008.8</v>
      </c>
      <c r="G301" s="120">
        <f t="shared" si="88"/>
        <v>0</v>
      </c>
    </row>
    <row r="302" spans="1:7" ht="30" x14ac:dyDescent="0.25">
      <c r="A302" s="157" t="s">
        <v>705</v>
      </c>
      <c r="B302" s="86" t="s">
        <v>126</v>
      </c>
      <c r="C302" s="86" t="s">
        <v>466</v>
      </c>
      <c r="D302" s="87">
        <v>400</v>
      </c>
      <c r="E302" s="120">
        <f>4600-2008.8</f>
        <v>2591.1999999999998</v>
      </c>
      <c r="F302" s="120">
        <v>2008.8</v>
      </c>
      <c r="G302" s="120">
        <v>0</v>
      </c>
    </row>
    <row r="303" spans="1:7" ht="45" x14ac:dyDescent="0.25">
      <c r="A303" s="74" t="s">
        <v>448</v>
      </c>
      <c r="B303" s="21" t="s">
        <v>126</v>
      </c>
      <c r="C303" s="21" t="s">
        <v>357</v>
      </c>
      <c r="D303" s="22"/>
      <c r="E303" s="58">
        <f>SUM(E304)</f>
        <v>3937.9</v>
      </c>
      <c r="F303" s="58">
        <f t="shared" ref="F303:G305" si="89">SUM(F304)</f>
        <v>858.1</v>
      </c>
      <c r="G303" s="58">
        <f t="shared" si="89"/>
        <v>524.79999999999995</v>
      </c>
    </row>
    <row r="304" spans="1:7" ht="45" x14ac:dyDescent="0.25">
      <c r="A304" s="75" t="s">
        <v>358</v>
      </c>
      <c r="B304" s="21" t="s">
        <v>126</v>
      </c>
      <c r="C304" s="21" t="s">
        <v>359</v>
      </c>
      <c r="D304" s="22"/>
      <c r="E304" s="58">
        <f>SUM(E305)</f>
        <v>3937.9</v>
      </c>
      <c r="F304" s="58">
        <f t="shared" si="89"/>
        <v>858.1</v>
      </c>
      <c r="G304" s="58">
        <f t="shared" si="89"/>
        <v>524.79999999999995</v>
      </c>
    </row>
    <row r="305" spans="1:7" x14ac:dyDescent="0.25">
      <c r="A305" s="75" t="s">
        <v>360</v>
      </c>
      <c r="B305" s="21" t="s">
        <v>126</v>
      </c>
      <c r="C305" s="21" t="s">
        <v>361</v>
      </c>
      <c r="D305" s="22"/>
      <c r="E305" s="58">
        <f>SUM(E306)</f>
        <v>3937.9</v>
      </c>
      <c r="F305" s="58">
        <f t="shared" si="89"/>
        <v>858.1</v>
      </c>
      <c r="G305" s="58">
        <f t="shared" si="89"/>
        <v>524.79999999999995</v>
      </c>
    </row>
    <row r="306" spans="1:7" ht="30" x14ac:dyDescent="0.25">
      <c r="A306" s="77" t="s">
        <v>21</v>
      </c>
      <c r="B306" s="21" t="s">
        <v>126</v>
      </c>
      <c r="C306" s="21" t="s">
        <v>361</v>
      </c>
      <c r="D306" s="22">
        <v>200</v>
      </c>
      <c r="E306" s="120">
        <f>858.1+500+1145.9+1433.9</f>
        <v>3937.9</v>
      </c>
      <c r="F306" s="120">
        <v>858.1</v>
      </c>
      <c r="G306" s="120">
        <v>524.79999999999995</v>
      </c>
    </row>
    <row r="307" spans="1:7" ht="60" x14ac:dyDescent="0.25">
      <c r="A307" s="74" t="s">
        <v>449</v>
      </c>
      <c r="B307" s="21" t="s">
        <v>126</v>
      </c>
      <c r="C307" s="21" t="s">
        <v>93</v>
      </c>
      <c r="D307" s="22"/>
      <c r="E307" s="58">
        <f>E308+E319</f>
        <v>28921.8</v>
      </c>
      <c r="F307" s="58">
        <f>F308+F319</f>
        <v>25421.4</v>
      </c>
      <c r="G307" s="58">
        <f>G308+G319</f>
        <v>22492.199999999997</v>
      </c>
    </row>
    <row r="308" spans="1:7" ht="45" x14ac:dyDescent="0.25">
      <c r="A308" s="75" t="s">
        <v>127</v>
      </c>
      <c r="B308" s="21" t="s">
        <v>126</v>
      </c>
      <c r="C308" s="21" t="s">
        <v>128</v>
      </c>
      <c r="D308" s="22"/>
      <c r="E308" s="58">
        <f>E309+E314</f>
        <v>13826.199999999999</v>
      </c>
      <c r="F308" s="58">
        <f>F309+F314</f>
        <v>11708</v>
      </c>
      <c r="G308" s="58">
        <f>G309+G314</f>
        <v>9366.6999999999989</v>
      </c>
    </row>
    <row r="309" spans="1:7" ht="30" x14ac:dyDescent="0.25">
      <c r="A309" s="84" t="s">
        <v>222</v>
      </c>
      <c r="B309" s="21" t="s">
        <v>126</v>
      </c>
      <c r="C309" s="21" t="s">
        <v>223</v>
      </c>
      <c r="D309" s="22"/>
      <c r="E309" s="58">
        <f>E312+E310</f>
        <v>12718.4</v>
      </c>
      <c r="F309" s="58">
        <f t="shared" ref="F309:G309" si="90">F312</f>
        <v>10118.4</v>
      </c>
      <c r="G309" s="58">
        <f t="shared" si="90"/>
        <v>8906.7999999999993</v>
      </c>
    </row>
    <row r="310" spans="1:7" ht="45" x14ac:dyDescent="0.25">
      <c r="A310" s="88" t="s">
        <v>224</v>
      </c>
      <c r="B310" s="21" t="s">
        <v>126</v>
      </c>
      <c r="C310" s="21" t="s">
        <v>225</v>
      </c>
      <c r="D310" s="22"/>
      <c r="E310" s="58">
        <f>SUM(E311)</f>
        <v>8851.4</v>
      </c>
      <c r="F310" s="58">
        <f>SUM(F311)</f>
        <v>0</v>
      </c>
      <c r="G310" s="58">
        <f>SUM(G311)</f>
        <v>0</v>
      </c>
    </row>
    <row r="311" spans="1:7" x14ac:dyDescent="0.25">
      <c r="A311" s="82" t="s">
        <v>22</v>
      </c>
      <c r="B311" s="21" t="s">
        <v>126</v>
      </c>
      <c r="C311" s="21" t="s">
        <v>225</v>
      </c>
      <c r="D311" s="22">
        <v>800</v>
      </c>
      <c r="E311" s="59">
        <f>6251.4+2600</f>
        <v>8851.4</v>
      </c>
      <c r="F311" s="59">
        <v>0</v>
      </c>
      <c r="G311" s="20">
        <v>0</v>
      </c>
    </row>
    <row r="312" spans="1:7" ht="75" x14ac:dyDescent="0.25">
      <c r="A312" s="74" t="s">
        <v>462</v>
      </c>
      <c r="B312" s="86" t="s">
        <v>126</v>
      </c>
      <c r="C312" s="86" t="s">
        <v>424</v>
      </c>
      <c r="D312" s="87"/>
      <c r="E312" s="59">
        <f>E313</f>
        <v>3867</v>
      </c>
      <c r="F312" s="59">
        <f t="shared" ref="F312:G312" si="91">F313</f>
        <v>10118.4</v>
      </c>
      <c r="G312" s="59">
        <f t="shared" si="91"/>
        <v>8906.7999999999993</v>
      </c>
    </row>
    <row r="313" spans="1:7" x14ac:dyDescent="0.25">
      <c r="A313" s="82" t="s">
        <v>22</v>
      </c>
      <c r="B313" s="86" t="s">
        <v>126</v>
      </c>
      <c r="C313" s="86" t="s">
        <v>424</v>
      </c>
      <c r="D313" s="87">
        <v>800</v>
      </c>
      <c r="E313" s="120">
        <f>10118.4-6251.4</f>
        <v>3867</v>
      </c>
      <c r="F313" s="120">
        <v>10118.4</v>
      </c>
      <c r="G313" s="120">
        <v>8906.7999999999993</v>
      </c>
    </row>
    <row r="314" spans="1:7" ht="45" x14ac:dyDescent="0.25">
      <c r="A314" s="75" t="s">
        <v>129</v>
      </c>
      <c r="B314" s="76" t="s">
        <v>126</v>
      </c>
      <c r="C314" s="76" t="s">
        <v>130</v>
      </c>
      <c r="D314" s="83"/>
      <c r="E314" s="20">
        <f>E315+E317</f>
        <v>1107.8</v>
      </c>
      <c r="F314" s="20">
        <f>F315+F317</f>
        <v>1589.6000000000001</v>
      </c>
      <c r="G314" s="20">
        <f>G315+G317</f>
        <v>459.9</v>
      </c>
    </row>
    <row r="315" spans="1:7" ht="45" x14ac:dyDescent="0.25">
      <c r="A315" s="77" t="s">
        <v>131</v>
      </c>
      <c r="B315" s="76" t="s">
        <v>126</v>
      </c>
      <c r="C315" s="76" t="s">
        <v>132</v>
      </c>
      <c r="D315" s="83"/>
      <c r="E315" s="20">
        <f>E316</f>
        <v>0</v>
      </c>
      <c r="F315" s="20">
        <f>F316</f>
        <v>227.7</v>
      </c>
      <c r="G315" s="20">
        <f>G316</f>
        <v>139.19999999999999</v>
      </c>
    </row>
    <row r="316" spans="1:7" ht="30" x14ac:dyDescent="0.25">
      <c r="A316" s="1" t="s">
        <v>21</v>
      </c>
      <c r="B316" s="76" t="s">
        <v>126</v>
      </c>
      <c r="C316" s="76" t="s">
        <v>132</v>
      </c>
      <c r="D316" s="83">
        <v>200</v>
      </c>
      <c r="E316" s="120">
        <f>227.7-227.7</f>
        <v>0</v>
      </c>
      <c r="F316" s="120">
        <v>227.7</v>
      </c>
      <c r="G316" s="120">
        <v>139.19999999999999</v>
      </c>
    </row>
    <row r="317" spans="1:7" ht="30" x14ac:dyDescent="0.25">
      <c r="A317" s="77" t="s">
        <v>226</v>
      </c>
      <c r="B317" s="76" t="s">
        <v>126</v>
      </c>
      <c r="C317" s="76" t="s">
        <v>227</v>
      </c>
      <c r="D317" s="83"/>
      <c r="E317" s="20">
        <f>E318</f>
        <v>1107.8</v>
      </c>
      <c r="F317" s="20">
        <f>F318</f>
        <v>1361.9</v>
      </c>
      <c r="G317" s="20">
        <f>G318</f>
        <v>320.7</v>
      </c>
    </row>
    <row r="318" spans="1:7" ht="30" x14ac:dyDescent="0.25">
      <c r="A318" s="1" t="s">
        <v>21</v>
      </c>
      <c r="B318" s="76" t="s">
        <v>126</v>
      </c>
      <c r="C318" s="76" t="s">
        <v>227</v>
      </c>
      <c r="D318" s="83">
        <v>200</v>
      </c>
      <c r="E318" s="120">
        <f>1907.8-800</f>
        <v>1107.8</v>
      </c>
      <c r="F318" s="120">
        <v>1361.9</v>
      </c>
      <c r="G318" s="120">
        <v>320.7</v>
      </c>
    </row>
    <row r="319" spans="1:7" ht="30" x14ac:dyDescent="0.25">
      <c r="A319" s="23" t="s">
        <v>133</v>
      </c>
      <c r="B319" s="21" t="s">
        <v>126</v>
      </c>
      <c r="C319" s="21" t="s">
        <v>134</v>
      </c>
      <c r="D319" s="22"/>
      <c r="E319" s="58">
        <f>E320</f>
        <v>15095.6</v>
      </c>
      <c r="F319" s="58">
        <f>F320</f>
        <v>13713.4</v>
      </c>
      <c r="G319" s="58">
        <f>G320</f>
        <v>13125.5</v>
      </c>
    </row>
    <row r="320" spans="1:7" ht="30" x14ac:dyDescent="0.25">
      <c r="A320" s="23" t="s">
        <v>135</v>
      </c>
      <c r="B320" s="21" t="s">
        <v>126</v>
      </c>
      <c r="C320" s="21" t="s">
        <v>136</v>
      </c>
      <c r="D320" s="22"/>
      <c r="E320" s="58">
        <f>E321+E323+E325</f>
        <v>15095.6</v>
      </c>
      <c r="F320" s="58">
        <f t="shared" ref="F320:G320" si="92">F321+F323+F325</f>
        <v>13713.4</v>
      </c>
      <c r="G320" s="58">
        <f t="shared" si="92"/>
        <v>13125.5</v>
      </c>
    </row>
    <row r="321" spans="1:7" x14ac:dyDescent="0.25">
      <c r="A321" s="23" t="s">
        <v>574</v>
      </c>
      <c r="B321" s="21" t="s">
        <v>126</v>
      </c>
      <c r="C321" s="21" t="s">
        <v>137</v>
      </c>
      <c r="D321" s="22"/>
      <c r="E321" s="58">
        <f>SUM(E322)</f>
        <v>2488.6000000000004</v>
      </c>
      <c r="F321" s="58">
        <f>SUM(F322)</f>
        <v>1513.4</v>
      </c>
      <c r="G321" s="58">
        <f>SUM(G322)</f>
        <v>925.5</v>
      </c>
    </row>
    <row r="322" spans="1:7" ht="30" x14ac:dyDescent="0.25">
      <c r="A322" s="1" t="s">
        <v>21</v>
      </c>
      <c r="B322" s="21" t="s">
        <v>126</v>
      </c>
      <c r="C322" s="21" t="s">
        <v>137</v>
      </c>
      <c r="D322" s="22">
        <v>200</v>
      </c>
      <c r="E322" s="120">
        <f>1513.4+827.7+147.5</f>
        <v>2488.6000000000004</v>
      </c>
      <c r="F322" s="120">
        <v>1513.4</v>
      </c>
      <c r="G322" s="120">
        <v>925.5</v>
      </c>
    </row>
    <row r="323" spans="1:7" ht="45" x14ac:dyDescent="0.25">
      <c r="A323" s="23" t="s">
        <v>362</v>
      </c>
      <c r="B323" s="21" t="s">
        <v>126</v>
      </c>
      <c r="C323" s="21" t="s">
        <v>363</v>
      </c>
      <c r="D323" s="22"/>
      <c r="E323" s="58">
        <f>SUM(E324)</f>
        <v>11379.4</v>
      </c>
      <c r="F323" s="58">
        <f>SUM(F324)</f>
        <v>12200</v>
      </c>
      <c r="G323" s="58">
        <f>SUM(G324)</f>
        <v>12200</v>
      </c>
    </row>
    <row r="324" spans="1:7" ht="30" x14ac:dyDescent="0.25">
      <c r="A324" s="1" t="s">
        <v>21</v>
      </c>
      <c r="B324" s="21" t="s">
        <v>126</v>
      </c>
      <c r="C324" s="21" t="s">
        <v>363</v>
      </c>
      <c r="D324" s="22">
        <v>200</v>
      </c>
      <c r="E324" s="120">
        <f>12200-755.6-65</f>
        <v>11379.4</v>
      </c>
      <c r="F324" s="120">
        <v>12200</v>
      </c>
      <c r="G324" s="120">
        <v>12200</v>
      </c>
    </row>
    <row r="325" spans="1:7" ht="60" x14ac:dyDescent="0.25">
      <c r="A325" s="65" t="s">
        <v>661</v>
      </c>
      <c r="B325" s="86" t="s">
        <v>126</v>
      </c>
      <c r="C325" s="86" t="s">
        <v>662</v>
      </c>
      <c r="D325" s="87"/>
      <c r="E325" s="120">
        <f>E326</f>
        <v>1227.5999999999999</v>
      </c>
      <c r="F325" s="120">
        <f t="shared" ref="F325:G325" si="93">F326</f>
        <v>0</v>
      </c>
      <c r="G325" s="120">
        <f t="shared" si="93"/>
        <v>0</v>
      </c>
    </row>
    <row r="326" spans="1:7" ht="30" x14ac:dyDescent="0.25">
      <c r="A326" s="65" t="s">
        <v>21</v>
      </c>
      <c r="B326" s="86" t="s">
        <v>126</v>
      </c>
      <c r="C326" s="86" t="s">
        <v>662</v>
      </c>
      <c r="D326" s="87">
        <v>200</v>
      </c>
      <c r="E326" s="120">
        <v>1227.5999999999999</v>
      </c>
      <c r="F326" s="120">
        <v>0</v>
      </c>
      <c r="G326" s="120">
        <v>0</v>
      </c>
    </row>
    <row r="327" spans="1:7" ht="17.25" customHeight="1" x14ac:dyDescent="0.25">
      <c r="A327" s="80" t="s">
        <v>138</v>
      </c>
      <c r="B327" s="24" t="s">
        <v>139</v>
      </c>
      <c r="C327" s="24"/>
      <c r="D327" s="25"/>
      <c r="E327" s="12">
        <f>SUM(E335)+E328</f>
        <v>906078.20000000019</v>
      </c>
      <c r="F327" s="12">
        <f>SUM(F335)+F328</f>
        <v>1020319.2000000001</v>
      </c>
      <c r="G327" s="12">
        <f t="shared" ref="G327" si="94">SUM(G335)+G328</f>
        <v>634024</v>
      </c>
    </row>
    <row r="328" spans="1:7" x14ac:dyDescent="0.25">
      <c r="A328" s="74" t="s">
        <v>10</v>
      </c>
      <c r="B328" s="21" t="s">
        <v>139</v>
      </c>
      <c r="C328" s="86" t="s">
        <v>11</v>
      </c>
      <c r="D328" s="87"/>
      <c r="E328" s="58">
        <f>E329+E331+E333</f>
        <v>56937.499999999993</v>
      </c>
      <c r="F328" s="58">
        <f t="shared" ref="F328:G328" si="95">F329+F331+F333</f>
        <v>0</v>
      </c>
      <c r="G328" s="58">
        <f t="shared" si="95"/>
        <v>0</v>
      </c>
    </row>
    <row r="329" spans="1:7" ht="30" x14ac:dyDescent="0.25">
      <c r="A329" s="74" t="s">
        <v>606</v>
      </c>
      <c r="B329" s="21" t="s">
        <v>139</v>
      </c>
      <c r="C329" s="86" t="s">
        <v>607</v>
      </c>
      <c r="D329" s="87"/>
      <c r="E329" s="58">
        <f>E330</f>
        <v>48455.599999999991</v>
      </c>
      <c r="F329" s="58">
        <f t="shared" ref="F329:G329" si="96">F330</f>
        <v>0</v>
      </c>
      <c r="G329" s="58">
        <f t="shared" si="96"/>
        <v>0</v>
      </c>
    </row>
    <row r="330" spans="1:7" ht="30" x14ac:dyDescent="0.25">
      <c r="A330" s="65" t="s">
        <v>21</v>
      </c>
      <c r="B330" s="21" t="s">
        <v>139</v>
      </c>
      <c r="C330" s="86" t="s">
        <v>607</v>
      </c>
      <c r="D330" s="87">
        <v>200</v>
      </c>
      <c r="E330" s="58">
        <f>9406.7+34705.7+4343.2</f>
        <v>48455.599999999991</v>
      </c>
      <c r="F330" s="58">
        <v>0</v>
      </c>
      <c r="G330" s="58">
        <v>0</v>
      </c>
    </row>
    <row r="331" spans="1:7" s="155" customFormat="1" x14ac:dyDescent="0.25">
      <c r="A331" s="65" t="s">
        <v>208</v>
      </c>
      <c r="B331" s="15" t="s">
        <v>139</v>
      </c>
      <c r="C331" s="144" t="s">
        <v>209</v>
      </c>
      <c r="D331" s="17"/>
      <c r="E331" s="58">
        <f>E332</f>
        <v>478.1</v>
      </c>
      <c r="F331" s="58">
        <f t="shared" ref="F331:G331" si="97">F332</f>
        <v>0</v>
      </c>
      <c r="G331" s="58">
        <f t="shared" si="97"/>
        <v>0</v>
      </c>
    </row>
    <row r="332" spans="1:7" s="155" customFormat="1" ht="30" x14ac:dyDescent="0.25">
      <c r="A332" s="65" t="s">
        <v>21</v>
      </c>
      <c r="B332" s="15" t="s">
        <v>139</v>
      </c>
      <c r="C332" s="144" t="s">
        <v>209</v>
      </c>
      <c r="D332" s="17">
        <v>200</v>
      </c>
      <c r="E332" s="58">
        <v>478.1</v>
      </c>
      <c r="F332" s="58">
        <v>0</v>
      </c>
      <c r="G332" s="58">
        <v>0</v>
      </c>
    </row>
    <row r="333" spans="1:7" s="155" customFormat="1" ht="60" x14ac:dyDescent="0.25">
      <c r="A333" s="65" t="s">
        <v>712</v>
      </c>
      <c r="B333" s="15" t="s">
        <v>139</v>
      </c>
      <c r="C333" s="144" t="s">
        <v>713</v>
      </c>
      <c r="D333" s="17"/>
      <c r="E333" s="58">
        <f>E334</f>
        <v>8003.8</v>
      </c>
      <c r="F333" s="58">
        <f t="shared" ref="F333:G333" si="98">F334</f>
        <v>0</v>
      </c>
      <c r="G333" s="58">
        <f t="shared" si="98"/>
        <v>0</v>
      </c>
    </row>
    <row r="334" spans="1:7" s="155" customFormat="1" x14ac:dyDescent="0.25">
      <c r="A334" s="82" t="s">
        <v>22</v>
      </c>
      <c r="B334" s="15" t="s">
        <v>139</v>
      </c>
      <c r="C334" s="144" t="s">
        <v>713</v>
      </c>
      <c r="D334" s="17">
        <v>800</v>
      </c>
      <c r="E334" s="58">
        <f>4054+3949.8</f>
        <v>8003.8</v>
      </c>
      <c r="F334" s="58">
        <v>0</v>
      </c>
      <c r="G334" s="58">
        <v>0</v>
      </c>
    </row>
    <row r="335" spans="1:7" ht="58.5" customHeight="1" x14ac:dyDescent="0.25">
      <c r="A335" s="74" t="s">
        <v>449</v>
      </c>
      <c r="B335" s="21" t="s">
        <v>139</v>
      </c>
      <c r="C335" s="21" t="s">
        <v>93</v>
      </c>
      <c r="D335" s="22"/>
      <c r="E335" s="58">
        <f>SUM(E336)</f>
        <v>849140.70000000019</v>
      </c>
      <c r="F335" s="58">
        <f>SUM(F336)</f>
        <v>1020319.2000000001</v>
      </c>
      <c r="G335" s="58">
        <f t="shared" ref="G335" si="99">SUM(G336)</f>
        <v>634024</v>
      </c>
    </row>
    <row r="336" spans="1:7" ht="45" x14ac:dyDescent="0.25">
      <c r="A336" s="92" t="s">
        <v>127</v>
      </c>
      <c r="B336" s="21" t="s">
        <v>139</v>
      </c>
      <c r="C336" s="21" t="s">
        <v>128</v>
      </c>
      <c r="D336" s="22"/>
      <c r="E336" s="58">
        <f>E337+E340+E343+E386+E391</f>
        <v>849140.70000000019</v>
      </c>
      <c r="F336" s="58">
        <f>F337+F340+F343+F386+F391</f>
        <v>1020319.2000000001</v>
      </c>
      <c r="G336" s="58">
        <f t="shared" ref="G336" si="100">G337+G340+G343+G386+G391</f>
        <v>634024</v>
      </c>
    </row>
    <row r="337" spans="1:7" x14ac:dyDescent="0.25">
      <c r="A337" s="91" t="s">
        <v>714</v>
      </c>
      <c r="B337" s="86" t="s">
        <v>139</v>
      </c>
      <c r="C337" s="86" t="s">
        <v>533</v>
      </c>
      <c r="D337" s="87"/>
      <c r="E337" s="58">
        <f>E338</f>
        <v>0</v>
      </c>
      <c r="F337" s="58">
        <f t="shared" ref="F337:G338" si="101">F338</f>
        <v>88746.5</v>
      </c>
      <c r="G337" s="58">
        <f t="shared" si="101"/>
        <v>4390.1000000000004</v>
      </c>
    </row>
    <row r="338" spans="1:7" ht="30" x14ac:dyDescent="0.25">
      <c r="A338" s="132" t="s">
        <v>532</v>
      </c>
      <c r="B338" s="86" t="s">
        <v>139</v>
      </c>
      <c r="C338" s="86" t="s">
        <v>534</v>
      </c>
      <c r="D338" s="87"/>
      <c r="E338" s="58">
        <f>E339</f>
        <v>0</v>
      </c>
      <c r="F338" s="58">
        <f t="shared" si="101"/>
        <v>88746.5</v>
      </c>
      <c r="G338" s="58">
        <f t="shared" si="101"/>
        <v>4390.1000000000004</v>
      </c>
    </row>
    <row r="339" spans="1:7" ht="30" x14ac:dyDescent="0.25">
      <c r="A339" s="157" t="s">
        <v>705</v>
      </c>
      <c r="B339" s="86" t="s">
        <v>139</v>
      </c>
      <c r="C339" s="86" t="s">
        <v>534</v>
      </c>
      <c r="D339" s="87">
        <v>400</v>
      </c>
      <c r="E339" s="58">
        <v>0</v>
      </c>
      <c r="F339" s="120">
        <f>121689.4-32942.9</f>
        <v>88746.5</v>
      </c>
      <c r="G339" s="120">
        <v>4390.1000000000004</v>
      </c>
    </row>
    <row r="340" spans="1:7" x14ac:dyDescent="0.25">
      <c r="A340" s="159" t="s">
        <v>715</v>
      </c>
      <c r="B340" s="86" t="s">
        <v>139</v>
      </c>
      <c r="C340" s="86" t="s">
        <v>535</v>
      </c>
      <c r="D340" s="87"/>
      <c r="E340" s="58">
        <f>E341</f>
        <v>208238.7</v>
      </c>
      <c r="F340" s="58">
        <f t="shared" ref="F340:G341" si="102">F341</f>
        <v>224727.9</v>
      </c>
      <c r="G340" s="58">
        <f t="shared" si="102"/>
        <v>0</v>
      </c>
    </row>
    <row r="341" spans="1:7" ht="75" x14ac:dyDescent="0.25">
      <c r="A341" s="88" t="s">
        <v>575</v>
      </c>
      <c r="B341" s="86" t="s">
        <v>139</v>
      </c>
      <c r="C341" s="86" t="s">
        <v>536</v>
      </c>
      <c r="D341" s="87"/>
      <c r="E341" s="58">
        <f>E342</f>
        <v>208238.7</v>
      </c>
      <c r="F341" s="58">
        <f t="shared" si="102"/>
        <v>224727.9</v>
      </c>
      <c r="G341" s="58">
        <f t="shared" si="102"/>
        <v>0</v>
      </c>
    </row>
    <row r="342" spans="1:7" ht="30" x14ac:dyDescent="0.25">
      <c r="A342" s="157" t="s">
        <v>705</v>
      </c>
      <c r="B342" s="86" t="s">
        <v>139</v>
      </c>
      <c r="C342" s="86" t="s">
        <v>536</v>
      </c>
      <c r="D342" s="87">
        <v>400</v>
      </c>
      <c r="E342" s="58">
        <f>12319.1+193000+2918+1.6</f>
        <v>208238.7</v>
      </c>
      <c r="F342" s="120">
        <f>181491.3+43236.6</f>
        <v>224727.9</v>
      </c>
      <c r="G342" s="58">
        <v>0</v>
      </c>
    </row>
    <row r="343" spans="1:7" ht="30" x14ac:dyDescent="0.25">
      <c r="A343" s="92" t="s">
        <v>140</v>
      </c>
      <c r="B343" s="21" t="s">
        <v>139</v>
      </c>
      <c r="C343" s="21" t="s">
        <v>141</v>
      </c>
      <c r="D343" s="22"/>
      <c r="E343" s="58">
        <f>E347+E357+E364+E365+E368+E370+E372+E374+E352+E376+E383+E355+E377+E379+E348+E350+E359+E381+E344+E361</f>
        <v>622091.9</v>
      </c>
      <c r="F343" s="58">
        <f>F347+F358+F364+F366+F368+F370+F372+F374+F352+F376+F383+F355+F377+F379+F348+F350+F359+F381+F344</f>
        <v>698389</v>
      </c>
      <c r="G343" s="58">
        <f t="shared" ref="G343" si="103">G347+G358+G364+G366+G368+G370+G372+G374+G353+G376+G383+G355+G377+G379+G348+G350+G359+G381+G344</f>
        <v>624423.80000000005</v>
      </c>
    </row>
    <row r="344" spans="1:7" ht="45" x14ac:dyDescent="0.25">
      <c r="A344" s="74" t="s">
        <v>625</v>
      </c>
      <c r="B344" s="86" t="s">
        <v>139</v>
      </c>
      <c r="C344" s="86" t="s">
        <v>612</v>
      </c>
      <c r="D344" s="87"/>
      <c r="E344" s="58">
        <f>E345</f>
        <v>8679.5</v>
      </c>
      <c r="F344" s="58">
        <f t="shared" ref="F344:G344" si="104">F345</f>
        <v>0</v>
      </c>
      <c r="G344" s="58">
        <f t="shared" si="104"/>
        <v>0</v>
      </c>
    </row>
    <row r="345" spans="1:7" ht="30" x14ac:dyDescent="0.25">
      <c r="A345" s="65" t="s">
        <v>21</v>
      </c>
      <c r="B345" s="86" t="s">
        <v>139</v>
      </c>
      <c r="C345" s="86" t="s">
        <v>612</v>
      </c>
      <c r="D345" s="87">
        <v>200</v>
      </c>
      <c r="E345" s="58">
        <f>8846.9-23.4-144</f>
        <v>8679.5</v>
      </c>
      <c r="F345" s="58">
        <v>0</v>
      </c>
      <c r="G345" s="58">
        <v>0</v>
      </c>
    </row>
    <row r="346" spans="1:7" ht="30" x14ac:dyDescent="0.25">
      <c r="A346" s="93" t="s">
        <v>391</v>
      </c>
      <c r="B346" s="86" t="s">
        <v>139</v>
      </c>
      <c r="C346" s="86" t="s">
        <v>392</v>
      </c>
      <c r="D346" s="87"/>
      <c r="E346" s="58">
        <f>SUM(E347)</f>
        <v>200</v>
      </c>
      <c r="F346" s="58">
        <f>SUM(F347)</f>
        <v>2000</v>
      </c>
      <c r="G346" s="58">
        <f>SUM(G347)</f>
        <v>2000</v>
      </c>
    </row>
    <row r="347" spans="1:7" ht="30" x14ac:dyDescent="0.25">
      <c r="A347" s="1" t="s">
        <v>21</v>
      </c>
      <c r="B347" s="86" t="s">
        <v>139</v>
      </c>
      <c r="C347" s="86" t="s">
        <v>392</v>
      </c>
      <c r="D347" s="87">
        <v>200</v>
      </c>
      <c r="E347" s="120">
        <f>2000-1800</f>
        <v>200</v>
      </c>
      <c r="F347" s="120">
        <v>2000</v>
      </c>
      <c r="G347" s="120">
        <v>2000</v>
      </c>
    </row>
    <row r="348" spans="1:7" ht="30" x14ac:dyDescent="0.25">
      <c r="A348" s="1" t="s">
        <v>572</v>
      </c>
      <c r="B348" s="86" t="s">
        <v>139</v>
      </c>
      <c r="C348" s="86" t="s">
        <v>566</v>
      </c>
      <c r="D348" s="87"/>
      <c r="E348" s="120">
        <f>SUM(E349)</f>
        <v>0</v>
      </c>
      <c r="F348" s="120">
        <f t="shared" ref="F348:G348" si="105">SUM(F349)</f>
        <v>0</v>
      </c>
      <c r="G348" s="120">
        <f t="shared" si="105"/>
        <v>0</v>
      </c>
    </row>
    <row r="349" spans="1:7" ht="31.5" customHeight="1" x14ac:dyDescent="0.25">
      <c r="A349" s="1" t="s">
        <v>21</v>
      </c>
      <c r="B349" s="86" t="s">
        <v>139</v>
      </c>
      <c r="C349" s="86" t="s">
        <v>566</v>
      </c>
      <c r="D349" s="87">
        <v>200</v>
      </c>
      <c r="E349" s="120">
        <f>10000-10000</f>
        <v>0</v>
      </c>
      <c r="F349" s="120">
        <v>0</v>
      </c>
      <c r="G349" s="120">
        <v>0</v>
      </c>
    </row>
    <row r="350" spans="1:7" ht="31.5" customHeight="1" x14ac:dyDescent="0.25">
      <c r="A350" s="1" t="s">
        <v>582</v>
      </c>
      <c r="B350" s="86" t="s">
        <v>139</v>
      </c>
      <c r="C350" s="86" t="s">
        <v>567</v>
      </c>
      <c r="D350" s="87"/>
      <c r="E350" s="120">
        <f>SUM(E351)</f>
        <v>10000</v>
      </c>
      <c r="F350" s="120">
        <f t="shared" ref="F350:G350" si="106">SUM(F351)</f>
        <v>0</v>
      </c>
      <c r="G350" s="120">
        <f t="shared" si="106"/>
        <v>0</v>
      </c>
    </row>
    <row r="351" spans="1:7" ht="31.5" customHeight="1" x14ac:dyDescent="0.25">
      <c r="A351" s="1" t="s">
        <v>21</v>
      </c>
      <c r="B351" s="86" t="s">
        <v>139</v>
      </c>
      <c r="C351" s="86" t="s">
        <v>567</v>
      </c>
      <c r="D351" s="87">
        <v>200</v>
      </c>
      <c r="E351" s="120">
        <v>10000</v>
      </c>
      <c r="F351" s="120">
        <v>0</v>
      </c>
      <c r="G351" s="120">
        <v>0</v>
      </c>
    </row>
    <row r="352" spans="1:7" ht="75" x14ac:dyDescent="0.25">
      <c r="A352" s="140" t="s">
        <v>593</v>
      </c>
      <c r="B352" s="21" t="s">
        <v>139</v>
      </c>
      <c r="C352" s="21" t="s">
        <v>475</v>
      </c>
      <c r="D352" s="87"/>
      <c r="E352" s="120">
        <f>SUM(E353:E354)</f>
        <v>373247.10000000003</v>
      </c>
      <c r="F352" s="120">
        <f t="shared" ref="F352:G352" si="107">SUM(F353:F354)</f>
        <v>479514.4</v>
      </c>
      <c r="G352" s="120">
        <f t="shared" si="107"/>
        <v>289315.10000000003</v>
      </c>
    </row>
    <row r="353" spans="1:7" ht="30" x14ac:dyDescent="0.25">
      <c r="A353" s="65" t="s">
        <v>21</v>
      </c>
      <c r="B353" s="21" t="s">
        <v>139</v>
      </c>
      <c r="C353" s="21" t="s">
        <v>475</v>
      </c>
      <c r="D353" s="87">
        <v>200</v>
      </c>
      <c r="E353" s="120">
        <f>10000+13582-4449.6+6470.5+234446+71812.6-109113.6-39+3238.1+1593.6+53844.9-37051.8+1700.1</f>
        <v>246033.80000000002</v>
      </c>
      <c r="F353" s="120">
        <f>479514.4-57414.4</f>
        <v>422100</v>
      </c>
      <c r="G353" s="120">
        <f>10000-10000+20358.9+318956.2-50000</f>
        <v>289315.10000000003</v>
      </c>
    </row>
    <row r="354" spans="1:7" ht="30" x14ac:dyDescent="0.25">
      <c r="A354" s="157" t="s">
        <v>705</v>
      </c>
      <c r="B354" s="21" t="s">
        <v>139</v>
      </c>
      <c r="C354" s="21" t="s">
        <v>475</v>
      </c>
      <c r="D354" s="87">
        <v>400</v>
      </c>
      <c r="E354" s="120">
        <f>-611.3+111112.8+27167.1-8755.2-1700.1</f>
        <v>127213.3</v>
      </c>
      <c r="F354" s="120">
        <v>57414.400000000001</v>
      </c>
      <c r="G354" s="120"/>
    </row>
    <row r="355" spans="1:7" ht="30" x14ac:dyDescent="0.25">
      <c r="A355" s="132" t="s">
        <v>554</v>
      </c>
      <c r="B355" s="21" t="s">
        <v>139</v>
      </c>
      <c r="C355" s="21" t="s">
        <v>555</v>
      </c>
      <c r="D355" s="87"/>
      <c r="E355" s="120">
        <f>E356</f>
        <v>0</v>
      </c>
      <c r="F355" s="120">
        <f t="shared" ref="F355:G355" si="108">F356</f>
        <v>15000</v>
      </c>
      <c r="G355" s="120">
        <f t="shared" si="108"/>
        <v>0</v>
      </c>
    </row>
    <row r="356" spans="1:7" ht="30" x14ac:dyDescent="0.25">
      <c r="A356" s="157" t="s">
        <v>705</v>
      </c>
      <c r="B356" s="21" t="s">
        <v>139</v>
      </c>
      <c r="C356" s="21" t="s">
        <v>555</v>
      </c>
      <c r="D356" s="87">
        <v>400</v>
      </c>
      <c r="E356" s="120">
        <v>0</v>
      </c>
      <c r="F356" s="120">
        <v>15000</v>
      </c>
      <c r="G356" s="120">
        <v>0</v>
      </c>
    </row>
    <row r="357" spans="1:7" x14ac:dyDescent="0.25">
      <c r="A357" s="91" t="s">
        <v>414</v>
      </c>
      <c r="B357" s="86" t="s">
        <v>139</v>
      </c>
      <c r="C357" s="86" t="s">
        <v>415</v>
      </c>
      <c r="D357" s="87"/>
      <c r="E357" s="59">
        <f>SUM(E358)</f>
        <v>1016.4</v>
      </c>
      <c r="F357" s="59">
        <f t="shared" ref="F357:G357" si="109">SUM(F358)</f>
        <v>0</v>
      </c>
      <c r="G357" s="59">
        <f t="shared" si="109"/>
        <v>0</v>
      </c>
    </row>
    <row r="358" spans="1:7" ht="30" x14ac:dyDescent="0.25">
      <c r="A358" s="157" t="s">
        <v>705</v>
      </c>
      <c r="B358" s="86" t="s">
        <v>139</v>
      </c>
      <c r="C358" s="86" t="s">
        <v>415</v>
      </c>
      <c r="D358" s="87">
        <v>400</v>
      </c>
      <c r="E358" s="120">
        <f>13000-10091-1800-236.6+144</f>
        <v>1016.4</v>
      </c>
      <c r="F358" s="120">
        <v>0</v>
      </c>
      <c r="G358" s="120">
        <v>0</v>
      </c>
    </row>
    <row r="359" spans="1:7" ht="30" x14ac:dyDescent="0.25">
      <c r="A359" s="82" t="s">
        <v>591</v>
      </c>
      <c r="B359" s="86" t="s">
        <v>139</v>
      </c>
      <c r="C359" s="86" t="s">
        <v>592</v>
      </c>
      <c r="D359" s="87"/>
      <c r="E359" s="120">
        <f>E360</f>
        <v>1153.1000000000004</v>
      </c>
      <c r="F359" s="120">
        <f t="shared" ref="F359:G359" si="110">F360</f>
        <v>0</v>
      </c>
      <c r="G359" s="120">
        <f t="shared" si="110"/>
        <v>0</v>
      </c>
    </row>
    <row r="360" spans="1:7" ht="30" x14ac:dyDescent="0.25">
      <c r="A360" s="157" t="s">
        <v>705</v>
      </c>
      <c r="B360" s="86" t="s">
        <v>139</v>
      </c>
      <c r="C360" s="86" t="s">
        <v>592</v>
      </c>
      <c r="D360" s="87">
        <v>400</v>
      </c>
      <c r="E360" s="120">
        <f>10000-8846.9</f>
        <v>1153.1000000000004</v>
      </c>
      <c r="F360" s="120">
        <v>0</v>
      </c>
      <c r="G360" s="120">
        <v>0</v>
      </c>
    </row>
    <row r="361" spans="1:7" ht="30" x14ac:dyDescent="0.25">
      <c r="A361" s="146" t="s">
        <v>671</v>
      </c>
      <c r="B361" s="86" t="s">
        <v>139</v>
      </c>
      <c r="C361" s="86" t="s">
        <v>672</v>
      </c>
      <c r="D361" s="87"/>
      <c r="E361" s="120">
        <f>E362</f>
        <v>23.4</v>
      </c>
      <c r="F361" s="120">
        <f t="shared" ref="F361:G361" si="111">F362</f>
        <v>0</v>
      </c>
      <c r="G361" s="120">
        <f t="shared" si="111"/>
        <v>0</v>
      </c>
    </row>
    <row r="362" spans="1:7" ht="30" x14ac:dyDescent="0.25">
      <c r="A362" s="157" t="s">
        <v>705</v>
      </c>
      <c r="B362" s="86" t="s">
        <v>139</v>
      </c>
      <c r="C362" s="86" t="s">
        <v>672</v>
      </c>
      <c r="D362" s="87">
        <v>400</v>
      </c>
      <c r="E362" s="120">
        <v>23.4</v>
      </c>
      <c r="F362" s="120"/>
      <c r="G362" s="120"/>
    </row>
    <row r="363" spans="1:7" ht="30" x14ac:dyDescent="0.25">
      <c r="A363" s="26" t="s">
        <v>576</v>
      </c>
      <c r="B363" s="21" t="s">
        <v>139</v>
      </c>
      <c r="C363" s="21" t="s">
        <v>416</v>
      </c>
      <c r="D363" s="22"/>
      <c r="E363" s="120">
        <f>SUM(E364)</f>
        <v>0</v>
      </c>
      <c r="F363" s="120">
        <f t="shared" ref="F363:G363" si="112">SUM(F364)</f>
        <v>1000</v>
      </c>
      <c r="G363" s="120">
        <f t="shared" si="112"/>
        <v>29860</v>
      </c>
    </row>
    <row r="364" spans="1:7" ht="30" x14ac:dyDescent="0.25">
      <c r="A364" s="157" t="s">
        <v>705</v>
      </c>
      <c r="B364" s="21" t="s">
        <v>139</v>
      </c>
      <c r="C364" s="21" t="s">
        <v>416</v>
      </c>
      <c r="D364" s="22">
        <v>400</v>
      </c>
      <c r="E364" s="120">
        <f>10000-10000</f>
        <v>0</v>
      </c>
      <c r="F364" s="120">
        <f>20000-19000</f>
        <v>1000</v>
      </c>
      <c r="G364" s="120">
        <v>29860</v>
      </c>
    </row>
    <row r="365" spans="1:7" ht="30" x14ac:dyDescent="0.25">
      <c r="A365" s="94" t="s">
        <v>476</v>
      </c>
      <c r="B365" s="21" t="s">
        <v>139</v>
      </c>
      <c r="C365" s="21" t="s">
        <v>394</v>
      </c>
      <c r="D365" s="22"/>
      <c r="E365" s="120">
        <f>SUM(E366)</f>
        <v>4535.2</v>
      </c>
      <c r="F365" s="120">
        <f t="shared" ref="F365:G365" si="113">SUM(F366)</f>
        <v>10000</v>
      </c>
      <c r="G365" s="120">
        <f t="shared" si="113"/>
        <v>35000</v>
      </c>
    </row>
    <row r="366" spans="1:7" ht="30" x14ac:dyDescent="0.25">
      <c r="A366" s="157" t="s">
        <v>705</v>
      </c>
      <c r="B366" s="21" t="s">
        <v>139</v>
      </c>
      <c r="C366" s="21" t="s">
        <v>394</v>
      </c>
      <c r="D366" s="22">
        <v>400</v>
      </c>
      <c r="E366" s="120">
        <f>4243-69.6+361.8</f>
        <v>4535.2</v>
      </c>
      <c r="F366" s="120">
        <v>10000</v>
      </c>
      <c r="G366" s="120">
        <v>35000</v>
      </c>
    </row>
    <row r="367" spans="1:7" ht="30" x14ac:dyDescent="0.25">
      <c r="A367" s="26" t="s">
        <v>577</v>
      </c>
      <c r="B367" s="21" t="s">
        <v>139</v>
      </c>
      <c r="C367" s="21" t="s">
        <v>417</v>
      </c>
      <c r="D367" s="22"/>
      <c r="E367" s="120">
        <f>SUM(E368)</f>
        <v>2736.5</v>
      </c>
      <c r="F367" s="120">
        <f t="shared" ref="F367:G367" si="114">SUM(F368)</f>
        <v>3400</v>
      </c>
      <c r="G367" s="120">
        <f t="shared" si="114"/>
        <v>15000</v>
      </c>
    </row>
    <row r="368" spans="1:7" ht="30" x14ac:dyDescent="0.25">
      <c r="A368" s="157" t="s">
        <v>705</v>
      </c>
      <c r="B368" s="21" t="s">
        <v>139</v>
      </c>
      <c r="C368" s="21" t="s">
        <v>417</v>
      </c>
      <c r="D368" s="22">
        <v>400</v>
      </c>
      <c r="E368" s="120">
        <f>2800-63.5</f>
        <v>2736.5</v>
      </c>
      <c r="F368" s="120">
        <v>3400</v>
      </c>
      <c r="G368" s="120">
        <v>15000</v>
      </c>
    </row>
    <row r="369" spans="1:7" x14ac:dyDescent="0.25">
      <c r="A369" s="26" t="s">
        <v>578</v>
      </c>
      <c r="B369" s="21" t="s">
        <v>139</v>
      </c>
      <c r="C369" s="21" t="s">
        <v>418</v>
      </c>
      <c r="D369" s="22"/>
      <c r="E369" s="120">
        <f>SUM(E370)</f>
        <v>0</v>
      </c>
      <c r="F369" s="120">
        <f t="shared" ref="F369:G369" si="115">SUM(F370)</f>
        <v>0</v>
      </c>
      <c r="G369" s="120">
        <f t="shared" si="115"/>
        <v>0</v>
      </c>
    </row>
    <row r="370" spans="1:7" ht="30" x14ac:dyDescent="0.25">
      <c r="A370" s="65" t="s">
        <v>21</v>
      </c>
      <c r="B370" s="21" t="s">
        <v>139</v>
      </c>
      <c r="C370" s="21" t="s">
        <v>418</v>
      </c>
      <c r="D370" s="22">
        <v>200</v>
      </c>
      <c r="E370" s="120">
        <f>2000-600-1400</f>
        <v>0</v>
      </c>
      <c r="F370" s="120">
        <v>0</v>
      </c>
      <c r="G370" s="120">
        <v>0</v>
      </c>
    </row>
    <row r="371" spans="1:7" ht="35.25" customHeight="1" x14ac:dyDescent="0.25">
      <c r="A371" s="26" t="s">
        <v>477</v>
      </c>
      <c r="B371" s="21" t="s">
        <v>139</v>
      </c>
      <c r="C371" s="21" t="s">
        <v>478</v>
      </c>
      <c r="D371" s="22"/>
      <c r="E371" s="120">
        <f>SUM(E372)</f>
        <v>0</v>
      </c>
      <c r="F371" s="120">
        <f t="shared" ref="F371:G371" si="116">SUM(F372)</f>
        <v>0</v>
      </c>
      <c r="G371" s="120">
        <f t="shared" si="116"/>
        <v>0</v>
      </c>
    </row>
    <row r="372" spans="1:7" ht="30" x14ac:dyDescent="0.25">
      <c r="A372" s="65" t="s">
        <v>21</v>
      </c>
      <c r="B372" s="21" t="s">
        <v>139</v>
      </c>
      <c r="C372" s="21" t="s">
        <v>478</v>
      </c>
      <c r="D372" s="22">
        <v>200</v>
      </c>
      <c r="E372" s="120">
        <f>1179-1179</f>
        <v>0</v>
      </c>
      <c r="F372" s="120">
        <f>12000-12000</f>
        <v>0</v>
      </c>
      <c r="G372" s="120">
        <v>0</v>
      </c>
    </row>
    <row r="373" spans="1:7" ht="45" x14ac:dyDescent="0.25">
      <c r="A373" s="26" t="s">
        <v>626</v>
      </c>
      <c r="B373" s="21" t="s">
        <v>139</v>
      </c>
      <c r="C373" s="21" t="s">
        <v>479</v>
      </c>
      <c r="D373" s="22"/>
      <c r="E373" s="120">
        <f>SUM(E374)</f>
        <v>50891.799999999996</v>
      </c>
      <c r="F373" s="120">
        <f t="shared" ref="F373:G373" si="117">SUM(F374)</f>
        <v>16418.2</v>
      </c>
      <c r="G373" s="120">
        <f t="shared" si="117"/>
        <v>107372.1</v>
      </c>
    </row>
    <row r="374" spans="1:7" ht="30" x14ac:dyDescent="0.25">
      <c r="A374" s="65" t="s">
        <v>21</v>
      </c>
      <c r="B374" s="21" t="s">
        <v>139</v>
      </c>
      <c r="C374" s="21" t="s">
        <v>479</v>
      </c>
      <c r="D374" s="22">
        <v>200</v>
      </c>
      <c r="E374" s="120">
        <f>58078.1-10000+10000-9132.4+1946.1</f>
        <v>50891.799999999996</v>
      </c>
      <c r="F374" s="120">
        <f>35279.5-12236.6-6624.7</f>
        <v>16418.2</v>
      </c>
      <c r="G374" s="120">
        <f>113996.8-6624.7</f>
        <v>107372.1</v>
      </c>
    </row>
    <row r="375" spans="1:7" ht="30" customHeight="1" x14ac:dyDescent="0.25">
      <c r="A375" s="26" t="s">
        <v>579</v>
      </c>
      <c r="B375" s="21" t="s">
        <v>139</v>
      </c>
      <c r="C375" s="21" t="s">
        <v>480</v>
      </c>
      <c r="D375" s="22"/>
      <c r="E375" s="120">
        <f>SUM(E376)</f>
        <v>230</v>
      </c>
      <c r="F375" s="120">
        <f t="shared" ref="F375:G375" si="118">SUM(F376)</f>
        <v>25529.200000000001</v>
      </c>
      <c r="G375" s="120">
        <f t="shared" si="118"/>
        <v>349.4</v>
      </c>
    </row>
    <row r="376" spans="1:7" ht="30" x14ac:dyDescent="0.25">
      <c r="A376" s="157" t="s">
        <v>705</v>
      </c>
      <c r="B376" s="21" t="s">
        <v>139</v>
      </c>
      <c r="C376" s="21" t="s">
        <v>480</v>
      </c>
      <c r="D376" s="22">
        <v>400</v>
      </c>
      <c r="E376" s="120">
        <f>8500-8500+234.9-4.9</f>
        <v>230</v>
      </c>
      <c r="F376" s="120">
        <f>25529.2</f>
        <v>25529.200000000001</v>
      </c>
      <c r="G376" s="120">
        <v>349.4</v>
      </c>
    </row>
    <row r="377" spans="1:7" ht="45" x14ac:dyDescent="0.25">
      <c r="A377" s="88" t="s">
        <v>627</v>
      </c>
      <c r="B377" s="21" t="s">
        <v>139</v>
      </c>
      <c r="C377" s="21" t="s">
        <v>562</v>
      </c>
      <c r="D377" s="22"/>
      <c r="E377" s="120">
        <f>SUM(E378)</f>
        <v>1919</v>
      </c>
      <c r="F377" s="120">
        <f t="shared" ref="F377:G377" si="119">SUM(F378)</f>
        <v>0</v>
      </c>
      <c r="G377" s="120">
        <f t="shared" si="119"/>
        <v>0</v>
      </c>
    </row>
    <row r="378" spans="1:7" ht="30" x14ac:dyDescent="0.25">
      <c r="A378" s="157" t="s">
        <v>705</v>
      </c>
      <c r="B378" s="21" t="s">
        <v>139</v>
      </c>
      <c r="C378" s="21" t="s">
        <v>562</v>
      </c>
      <c r="D378" s="22">
        <v>400</v>
      </c>
      <c r="E378" s="120">
        <f>2000-81</f>
        <v>1919</v>
      </c>
      <c r="F378" s="120">
        <v>0</v>
      </c>
      <c r="G378" s="120">
        <v>0</v>
      </c>
    </row>
    <row r="379" spans="1:7" ht="45" x14ac:dyDescent="0.25">
      <c r="A379" s="88" t="s">
        <v>628</v>
      </c>
      <c r="B379" s="21" t="s">
        <v>139</v>
      </c>
      <c r="C379" s="21" t="s">
        <v>563</v>
      </c>
      <c r="D379" s="22"/>
      <c r="E379" s="120">
        <f>E380</f>
        <v>7794.2999999999993</v>
      </c>
      <c r="F379" s="120">
        <f t="shared" ref="F379:G379" si="120">F380</f>
        <v>0</v>
      </c>
      <c r="G379" s="120">
        <f t="shared" si="120"/>
        <v>0</v>
      </c>
    </row>
    <row r="380" spans="1:7" ht="30" x14ac:dyDescent="0.25">
      <c r="A380" s="157" t="s">
        <v>705</v>
      </c>
      <c r="B380" s="21" t="s">
        <v>139</v>
      </c>
      <c r="C380" s="21" t="s">
        <v>563</v>
      </c>
      <c r="D380" s="22">
        <v>400</v>
      </c>
      <c r="E380" s="120">
        <f>8000-205.6-0.1</f>
        <v>7794.2999999999993</v>
      </c>
      <c r="F380" s="120">
        <v>0</v>
      </c>
      <c r="G380" s="120">
        <v>0</v>
      </c>
    </row>
    <row r="381" spans="1:7" ht="30" x14ac:dyDescent="0.25">
      <c r="A381" s="26" t="s">
        <v>701</v>
      </c>
      <c r="B381" s="21" t="s">
        <v>139</v>
      </c>
      <c r="C381" s="21" t="s">
        <v>594</v>
      </c>
      <c r="D381" s="22"/>
      <c r="E381" s="120">
        <f>E382</f>
        <v>0</v>
      </c>
      <c r="F381" s="120">
        <f t="shared" ref="F381:G381" si="121">F382</f>
        <v>0</v>
      </c>
      <c r="G381" s="120">
        <f t="shared" si="121"/>
        <v>0</v>
      </c>
    </row>
    <row r="382" spans="1:7" ht="30" x14ac:dyDescent="0.25">
      <c r="A382" s="65" t="s">
        <v>21</v>
      </c>
      <c r="B382" s="21" t="s">
        <v>139</v>
      </c>
      <c r="C382" s="21" t="s">
        <v>594</v>
      </c>
      <c r="D382" s="22">
        <v>200</v>
      </c>
      <c r="E382" s="120">
        <f>13582-600-12982</f>
        <v>0</v>
      </c>
      <c r="F382" s="120">
        <v>0</v>
      </c>
      <c r="G382" s="120">
        <v>0</v>
      </c>
    </row>
    <row r="383" spans="1:7" ht="137.25" customHeight="1" x14ac:dyDescent="0.25">
      <c r="A383" s="82" t="s">
        <v>468</v>
      </c>
      <c r="B383" s="86" t="s">
        <v>139</v>
      </c>
      <c r="C383" s="86" t="s">
        <v>469</v>
      </c>
      <c r="D383" s="87"/>
      <c r="E383" s="120">
        <f>SUM(E384:E385)</f>
        <v>159665.59999999998</v>
      </c>
      <c r="F383" s="120">
        <f>SUM(F384:F385)</f>
        <v>145527.19999999998</v>
      </c>
      <c r="G383" s="120">
        <f>SUM(G384:G385)</f>
        <v>145527.19999999998</v>
      </c>
    </row>
    <row r="384" spans="1:7" ht="30" x14ac:dyDescent="0.25">
      <c r="A384" s="65" t="s">
        <v>21</v>
      </c>
      <c r="B384" s="86" t="s">
        <v>139</v>
      </c>
      <c r="C384" s="86" t="s">
        <v>469</v>
      </c>
      <c r="D384" s="87">
        <v>200</v>
      </c>
      <c r="E384" s="120">
        <v>44.9</v>
      </c>
      <c r="F384" s="120">
        <v>44.9</v>
      </c>
      <c r="G384" s="120">
        <v>44.9</v>
      </c>
    </row>
    <row r="385" spans="1:7" x14ac:dyDescent="0.25">
      <c r="A385" s="82" t="s">
        <v>22</v>
      </c>
      <c r="B385" s="86" t="s">
        <v>139</v>
      </c>
      <c r="C385" s="86" t="s">
        <v>469</v>
      </c>
      <c r="D385" s="87">
        <v>800</v>
      </c>
      <c r="E385" s="120">
        <f>145482.3+14138.4</f>
        <v>159620.69999999998</v>
      </c>
      <c r="F385" s="120">
        <v>145482.29999999999</v>
      </c>
      <c r="G385" s="120">
        <v>145482.29999999999</v>
      </c>
    </row>
    <row r="386" spans="1:7" ht="30" x14ac:dyDescent="0.25">
      <c r="A386" s="92" t="s">
        <v>222</v>
      </c>
      <c r="B386" s="21" t="s">
        <v>139</v>
      </c>
      <c r="C386" s="21" t="s">
        <v>223</v>
      </c>
      <c r="D386" s="22"/>
      <c r="E386" s="58">
        <f>SUM(E389)+E387</f>
        <v>10833.8</v>
      </c>
      <c r="F386" s="58">
        <f t="shared" ref="F386:G386" si="122">SUM(F389)+F387</f>
        <v>8355.7999999999993</v>
      </c>
      <c r="G386" s="58">
        <f t="shared" si="122"/>
        <v>5110.1000000000004</v>
      </c>
    </row>
    <row r="387" spans="1:7" ht="31.5" x14ac:dyDescent="0.25">
      <c r="A387" s="145" t="s">
        <v>638</v>
      </c>
      <c r="B387" s="86" t="s">
        <v>139</v>
      </c>
      <c r="C387" s="86" t="s">
        <v>639</v>
      </c>
      <c r="D387" s="87"/>
      <c r="E387" s="58">
        <f>E388</f>
        <v>7198.9000000000005</v>
      </c>
      <c r="F387" s="58">
        <f t="shared" ref="F387:G387" si="123">F388</f>
        <v>0</v>
      </c>
      <c r="G387" s="58">
        <f t="shared" si="123"/>
        <v>0</v>
      </c>
    </row>
    <row r="388" spans="1:7" x14ac:dyDescent="0.25">
      <c r="A388" s="82" t="s">
        <v>22</v>
      </c>
      <c r="B388" s="86" t="s">
        <v>139</v>
      </c>
      <c r="C388" s="86" t="s">
        <v>639</v>
      </c>
      <c r="D388" s="87">
        <v>800</v>
      </c>
      <c r="E388" s="58">
        <f>2886.8+1860.3+2451.8</f>
        <v>7198.9000000000005</v>
      </c>
      <c r="F388" s="58">
        <v>0</v>
      </c>
      <c r="G388" s="58">
        <v>0</v>
      </c>
    </row>
    <row r="389" spans="1:7" ht="60" x14ac:dyDescent="0.25">
      <c r="A389" s="74" t="s">
        <v>470</v>
      </c>
      <c r="B389" s="86" t="s">
        <v>139</v>
      </c>
      <c r="C389" s="86" t="s">
        <v>428</v>
      </c>
      <c r="D389" s="87"/>
      <c r="E389" s="120">
        <f>SUM(E390)</f>
        <v>3634.8999999999996</v>
      </c>
      <c r="F389" s="120">
        <f t="shared" ref="F389:G389" si="124">SUM(F390)</f>
        <v>8355.7999999999993</v>
      </c>
      <c r="G389" s="120">
        <f t="shared" si="124"/>
        <v>5110.1000000000004</v>
      </c>
    </row>
    <row r="390" spans="1:7" x14ac:dyDescent="0.25">
      <c r="A390" s="23" t="s">
        <v>22</v>
      </c>
      <c r="B390" s="86" t="s">
        <v>139</v>
      </c>
      <c r="C390" s="86" t="s">
        <v>428</v>
      </c>
      <c r="D390" s="87">
        <v>800</v>
      </c>
      <c r="E390" s="120">
        <f>6521.7-2886.8</f>
        <v>3634.8999999999996</v>
      </c>
      <c r="F390" s="120">
        <v>8355.7999999999993</v>
      </c>
      <c r="G390" s="120">
        <v>5110.1000000000004</v>
      </c>
    </row>
    <row r="391" spans="1:7" ht="45" x14ac:dyDescent="0.25">
      <c r="A391" s="88" t="s">
        <v>129</v>
      </c>
      <c r="B391" s="86" t="s">
        <v>139</v>
      </c>
      <c r="C391" s="86" t="s">
        <v>130</v>
      </c>
      <c r="D391" s="87"/>
      <c r="E391" s="120">
        <f>SUM(E392+E394)</f>
        <v>7976.2999999999993</v>
      </c>
      <c r="F391" s="120">
        <f>SUM(F392+F394)</f>
        <v>100</v>
      </c>
      <c r="G391" s="120">
        <f>SUM(G392+G394)</f>
        <v>100</v>
      </c>
    </row>
    <row r="392" spans="1:7" ht="30" x14ac:dyDescent="0.25">
      <c r="A392" s="88" t="s">
        <v>471</v>
      </c>
      <c r="B392" s="86" t="s">
        <v>139</v>
      </c>
      <c r="C392" s="86" t="s">
        <v>473</v>
      </c>
      <c r="D392" s="87"/>
      <c r="E392" s="120">
        <f>SUM(E393)</f>
        <v>100</v>
      </c>
      <c r="F392" s="120">
        <f t="shared" ref="F392:G392" si="125">SUM(F393)</f>
        <v>100</v>
      </c>
      <c r="G392" s="120">
        <f t="shared" si="125"/>
        <v>100</v>
      </c>
    </row>
    <row r="393" spans="1:7" ht="30" x14ac:dyDescent="0.25">
      <c r="A393" s="65" t="s">
        <v>21</v>
      </c>
      <c r="B393" s="86" t="s">
        <v>139</v>
      </c>
      <c r="C393" s="86" t="s">
        <v>473</v>
      </c>
      <c r="D393" s="87">
        <v>200</v>
      </c>
      <c r="E393" s="120">
        <v>100</v>
      </c>
      <c r="F393" s="120">
        <v>100</v>
      </c>
      <c r="G393" s="120">
        <v>100</v>
      </c>
    </row>
    <row r="394" spans="1:7" ht="30" x14ac:dyDescent="0.25">
      <c r="A394" s="65" t="s">
        <v>472</v>
      </c>
      <c r="B394" s="86" t="s">
        <v>139</v>
      </c>
      <c r="C394" s="86" t="s">
        <v>474</v>
      </c>
      <c r="D394" s="87"/>
      <c r="E394" s="120">
        <f>SUM(E395)</f>
        <v>7876.2999999999993</v>
      </c>
      <c r="F394" s="120">
        <f t="shared" ref="F394:G394" si="126">SUM(F395)</f>
        <v>0</v>
      </c>
      <c r="G394" s="120">
        <f t="shared" si="126"/>
        <v>0</v>
      </c>
    </row>
    <row r="395" spans="1:7" ht="30" x14ac:dyDescent="0.25">
      <c r="A395" s="65" t="s">
        <v>21</v>
      </c>
      <c r="B395" s="86" t="s">
        <v>139</v>
      </c>
      <c r="C395" s="86" t="s">
        <v>474</v>
      </c>
      <c r="D395" s="87">
        <v>200</v>
      </c>
      <c r="E395" s="120">
        <f>9857.8-1981.5</f>
        <v>7876.2999999999993</v>
      </c>
      <c r="F395" s="120">
        <v>0</v>
      </c>
      <c r="G395" s="120">
        <v>0</v>
      </c>
    </row>
    <row r="396" spans="1:7" x14ac:dyDescent="0.25">
      <c r="A396" s="80" t="s">
        <v>228</v>
      </c>
      <c r="B396" s="24" t="s">
        <v>229</v>
      </c>
      <c r="C396" s="24"/>
      <c r="D396" s="25"/>
      <c r="E396" s="12">
        <f>E400+E430+E397</f>
        <v>598567.4</v>
      </c>
      <c r="F396" s="12">
        <f>F400+F430+F397</f>
        <v>461941.8</v>
      </c>
      <c r="G396" s="12">
        <f>G400+G430+G397</f>
        <v>299741.5</v>
      </c>
    </row>
    <row r="397" spans="1:7" s="155" customFormat="1" x14ac:dyDescent="0.25">
      <c r="A397" s="74" t="s">
        <v>10</v>
      </c>
      <c r="B397" s="86" t="s">
        <v>229</v>
      </c>
      <c r="C397" s="86" t="s">
        <v>11</v>
      </c>
      <c r="D397" s="87"/>
      <c r="E397" s="58">
        <f>E398</f>
        <v>3000</v>
      </c>
      <c r="F397" s="58">
        <f t="shared" ref="F397:G398" si="127">F398</f>
        <v>0</v>
      </c>
      <c r="G397" s="58">
        <f t="shared" si="127"/>
        <v>0</v>
      </c>
    </row>
    <row r="398" spans="1:7" s="155" customFormat="1" x14ac:dyDescent="0.25">
      <c r="A398" s="65" t="s">
        <v>208</v>
      </c>
      <c r="B398" s="15" t="s">
        <v>229</v>
      </c>
      <c r="C398" s="144" t="s">
        <v>209</v>
      </c>
      <c r="D398" s="87"/>
      <c r="E398" s="58">
        <f>E399</f>
        <v>3000</v>
      </c>
      <c r="F398" s="58">
        <f t="shared" si="127"/>
        <v>0</v>
      </c>
      <c r="G398" s="58">
        <f t="shared" si="127"/>
        <v>0</v>
      </c>
    </row>
    <row r="399" spans="1:7" s="155" customFormat="1" x14ac:dyDescent="0.25">
      <c r="A399" s="82" t="s">
        <v>22</v>
      </c>
      <c r="B399" s="15" t="s">
        <v>229</v>
      </c>
      <c r="C399" s="144" t="s">
        <v>209</v>
      </c>
      <c r="D399" s="87">
        <v>800</v>
      </c>
      <c r="E399" s="58">
        <v>3000</v>
      </c>
      <c r="F399" s="58"/>
      <c r="G399" s="58"/>
    </row>
    <row r="400" spans="1:7" ht="59.25" customHeight="1" x14ac:dyDescent="0.25">
      <c r="A400" s="74" t="s">
        <v>449</v>
      </c>
      <c r="B400" s="21" t="s">
        <v>229</v>
      </c>
      <c r="C400" s="76" t="s">
        <v>93</v>
      </c>
      <c r="D400" s="83"/>
      <c r="E400" s="58">
        <f t="shared" ref="E400:G400" si="128">SUM(E401)</f>
        <v>476073</v>
      </c>
      <c r="F400" s="58">
        <f t="shared" si="128"/>
        <v>343444.6</v>
      </c>
      <c r="G400" s="58">
        <f t="shared" si="128"/>
        <v>176196.59999999998</v>
      </c>
    </row>
    <row r="401" spans="1:7" x14ac:dyDescent="0.25">
      <c r="A401" s="75" t="s">
        <v>94</v>
      </c>
      <c r="B401" s="21" t="s">
        <v>229</v>
      </c>
      <c r="C401" s="76" t="s">
        <v>95</v>
      </c>
      <c r="D401" s="83"/>
      <c r="E401" s="58">
        <f>SUM(E402)+E423+E427</f>
        <v>476073</v>
      </c>
      <c r="F401" s="58">
        <f t="shared" ref="F401:G401" si="129">SUM(F402)+F423+F427</f>
        <v>343444.6</v>
      </c>
      <c r="G401" s="58">
        <f t="shared" si="129"/>
        <v>176196.59999999998</v>
      </c>
    </row>
    <row r="402" spans="1:7" ht="30" x14ac:dyDescent="0.25">
      <c r="A402" s="75" t="s">
        <v>96</v>
      </c>
      <c r="B402" s="21" t="s">
        <v>229</v>
      </c>
      <c r="C402" s="76" t="s">
        <v>97</v>
      </c>
      <c r="D402" s="83"/>
      <c r="E402" s="58">
        <f>SUM(E407+E409+E417+E421+E405+E419)+E411+E413+E415+E403</f>
        <v>247955.90000000002</v>
      </c>
      <c r="F402" s="58">
        <f>SUM(F407+F409+F417+F421+F405+F419)</f>
        <v>236788</v>
      </c>
      <c r="G402" s="58">
        <f>SUM(G407+G409+G417+G421+G405+G419)</f>
        <v>176196.59999999998</v>
      </c>
    </row>
    <row r="403" spans="1:7" ht="30" x14ac:dyDescent="0.25">
      <c r="A403" s="74" t="s">
        <v>685</v>
      </c>
      <c r="B403" s="21" t="s">
        <v>229</v>
      </c>
      <c r="C403" s="86" t="s">
        <v>686</v>
      </c>
      <c r="D403" s="83"/>
      <c r="E403" s="58">
        <f>SUM(E404)</f>
        <v>2472.6</v>
      </c>
      <c r="F403" s="58">
        <f t="shared" ref="F403:G403" si="130">SUM(F404)</f>
        <v>0</v>
      </c>
      <c r="G403" s="58">
        <f t="shared" si="130"/>
        <v>0</v>
      </c>
    </row>
    <row r="404" spans="1:7" ht="30" x14ac:dyDescent="0.25">
      <c r="A404" s="65" t="s">
        <v>21</v>
      </c>
      <c r="B404" s="21" t="s">
        <v>229</v>
      </c>
      <c r="C404" s="86" t="s">
        <v>686</v>
      </c>
      <c r="D404" s="83">
        <v>200</v>
      </c>
      <c r="E404" s="58">
        <f>2601.7-129.1</f>
        <v>2472.6</v>
      </c>
      <c r="F404" s="58">
        <v>0</v>
      </c>
      <c r="G404" s="58">
        <v>0</v>
      </c>
    </row>
    <row r="405" spans="1:7" ht="82.5" customHeight="1" x14ac:dyDescent="0.25">
      <c r="A405" s="82" t="s">
        <v>410</v>
      </c>
      <c r="B405" s="86" t="s">
        <v>229</v>
      </c>
      <c r="C405" s="86" t="s">
        <v>403</v>
      </c>
      <c r="D405" s="87"/>
      <c r="E405" s="58">
        <f>E406</f>
        <v>10081.500000000002</v>
      </c>
      <c r="F405" s="58">
        <f t="shared" ref="F405" si="131">F406</f>
        <v>12975</v>
      </c>
      <c r="G405" s="58">
        <f>G406</f>
        <v>7935</v>
      </c>
    </row>
    <row r="406" spans="1:7" ht="30" x14ac:dyDescent="0.25">
      <c r="A406" s="65" t="s">
        <v>21</v>
      </c>
      <c r="B406" s="86" t="s">
        <v>229</v>
      </c>
      <c r="C406" s="86" t="s">
        <v>403</v>
      </c>
      <c r="D406" s="87">
        <v>200</v>
      </c>
      <c r="E406" s="120">
        <f>15000+6000-50-3250+1705.9+200-9524.5+0.1</f>
        <v>10081.500000000002</v>
      </c>
      <c r="F406" s="120">
        <v>12975</v>
      </c>
      <c r="G406" s="120">
        <v>7935</v>
      </c>
    </row>
    <row r="407" spans="1:7" x14ac:dyDescent="0.25">
      <c r="A407" s="84" t="s">
        <v>230</v>
      </c>
      <c r="B407" s="21" t="s">
        <v>229</v>
      </c>
      <c r="C407" s="76" t="s">
        <v>231</v>
      </c>
      <c r="D407" s="83"/>
      <c r="E407" s="20">
        <f>SUM(E408)</f>
        <v>78197.5</v>
      </c>
      <c r="F407" s="20">
        <f>SUM(F408)</f>
        <v>80801.2</v>
      </c>
      <c r="G407" s="20">
        <f>SUM(G408)</f>
        <v>80801.2</v>
      </c>
    </row>
    <row r="408" spans="1:7" ht="30" x14ac:dyDescent="0.25">
      <c r="A408" s="1" t="s">
        <v>21</v>
      </c>
      <c r="B408" s="21" t="s">
        <v>229</v>
      </c>
      <c r="C408" s="76" t="s">
        <v>231</v>
      </c>
      <c r="D408" s="83">
        <v>200</v>
      </c>
      <c r="E408" s="120">
        <v>78197.5</v>
      </c>
      <c r="F408" s="120">
        <v>80801.2</v>
      </c>
      <c r="G408" s="120">
        <v>80801.2</v>
      </c>
    </row>
    <row r="409" spans="1:7" x14ac:dyDescent="0.25">
      <c r="A409" s="90" t="s">
        <v>232</v>
      </c>
      <c r="B409" s="21" t="s">
        <v>229</v>
      </c>
      <c r="C409" s="21" t="s">
        <v>233</v>
      </c>
      <c r="D409" s="22"/>
      <c r="E409" s="58">
        <f>SUM(E410)</f>
        <v>26918.3</v>
      </c>
      <c r="F409" s="58">
        <f>SUM(F410)</f>
        <v>18632.599999999999</v>
      </c>
      <c r="G409" s="58">
        <f>SUM(G410)</f>
        <v>11395</v>
      </c>
    </row>
    <row r="410" spans="1:7" ht="30" x14ac:dyDescent="0.25">
      <c r="A410" s="1" t="s">
        <v>21</v>
      </c>
      <c r="B410" s="21" t="s">
        <v>229</v>
      </c>
      <c r="C410" s="21" t="s">
        <v>233</v>
      </c>
      <c r="D410" s="22">
        <v>200</v>
      </c>
      <c r="E410" s="120">
        <f>18632.6+882.9+8000-597.2</f>
        <v>26918.3</v>
      </c>
      <c r="F410" s="120">
        <v>18632.599999999999</v>
      </c>
      <c r="G410" s="120">
        <v>11395</v>
      </c>
    </row>
    <row r="411" spans="1:7" ht="75" x14ac:dyDescent="0.25">
      <c r="A411" s="88" t="s">
        <v>640</v>
      </c>
      <c r="B411" s="86" t="s">
        <v>229</v>
      </c>
      <c r="C411" s="86" t="s">
        <v>643</v>
      </c>
      <c r="D411" s="87"/>
      <c r="E411" s="120">
        <f>E412</f>
        <v>30774.6</v>
      </c>
      <c r="F411" s="120">
        <f t="shared" ref="F411:G411" si="132">F412</f>
        <v>0</v>
      </c>
      <c r="G411" s="120">
        <f t="shared" si="132"/>
        <v>0</v>
      </c>
    </row>
    <row r="412" spans="1:7" x14ac:dyDescent="0.25">
      <c r="A412" s="82" t="s">
        <v>22</v>
      </c>
      <c r="B412" s="86" t="s">
        <v>229</v>
      </c>
      <c r="C412" s="86" t="s">
        <v>643</v>
      </c>
      <c r="D412" s="87">
        <v>800</v>
      </c>
      <c r="E412" s="120">
        <f>42143.1-20000+9209-577.5</f>
        <v>30774.6</v>
      </c>
      <c r="F412" s="120">
        <v>0</v>
      </c>
      <c r="G412" s="120">
        <v>0</v>
      </c>
    </row>
    <row r="413" spans="1:7" ht="45" x14ac:dyDescent="0.25">
      <c r="A413" s="88" t="s">
        <v>641</v>
      </c>
      <c r="B413" s="86" t="s">
        <v>229</v>
      </c>
      <c r="C413" s="86" t="s">
        <v>644</v>
      </c>
      <c r="D413" s="87"/>
      <c r="E413" s="120">
        <f>E414</f>
        <v>10688.6</v>
      </c>
      <c r="F413" s="120">
        <f t="shared" ref="F413:G413" si="133">F414</f>
        <v>0</v>
      </c>
      <c r="G413" s="120">
        <f t="shared" si="133"/>
        <v>0</v>
      </c>
    </row>
    <row r="414" spans="1:7" x14ac:dyDescent="0.25">
      <c r="A414" s="82" t="s">
        <v>22</v>
      </c>
      <c r="B414" s="86" t="s">
        <v>229</v>
      </c>
      <c r="C414" s="86" t="s">
        <v>644</v>
      </c>
      <c r="D414" s="87">
        <v>800</v>
      </c>
      <c r="E414" s="120">
        <f>10688.5+0.1</f>
        <v>10688.6</v>
      </c>
      <c r="F414" s="120"/>
      <c r="G414" s="120"/>
    </row>
    <row r="415" spans="1:7" ht="45" x14ac:dyDescent="0.25">
      <c r="A415" s="88" t="s">
        <v>642</v>
      </c>
      <c r="B415" s="86" t="s">
        <v>229</v>
      </c>
      <c r="C415" s="86" t="s">
        <v>645</v>
      </c>
      <c r="D415" s="87"/>
      <c r="E415" s="120">
        <f>E416</f>
        <v>19768.5</v>
      </c>
      <c r="F415" s="120">
        <f t="shared" ref="F415:G415" si="134">F416</f>
        <v>0</v>
      </c>
      <c r="G415" s="120">
        <f t="shared" si="134"/>
        <v>0</v>
      </c>
    </row>
    <row r="416" spans="1:7" x14ac:dyDescent="0.25">
      <c r="A416" s="82" t="s">
        <v>22</v>
      </c>
      <c r="B416" s="86" t="s">
        <v>229</v>
      </c>
      <c r="C416" s="86" t="s">
        <v>645</v>
      </c>
      <c r="D416" s="87">
        <v>800</v>
      </c>
      <c r="E416" s="120">
        <f>28768.5-9000</f>
        <v>19768.5</v>
      </c>
      <c r="F416" s="120"/>
      <c r="G416" s="120"/>
    </row>
    <row r="417" spans="1:7" ht="105" x14ac:dyDescent="0.25">
      <c r="A417" s="85" t="s">
        <v>485</v>
      </c>
      <c r="B417" s="86" t="s">
        <v>229</v>
      </c>
      <c r="C417" s="86" t="s">
        <v>425</v>
      </c>
      <c r="D417" s="87"/>
      <c r="E417" s="120">
        <f>SUM(E418)</f>
        <v>31370.799999999996</v>
      </c>
      <c r="F417" s="120">
        <f t="shared" ref="F417:G417" si="135">SUM(F418)</f>
        <v>62603</v>
      </c>
      <c r="G417" s="120">
        <f t="shared" si="135"/>
        <v>38285.5</v>
      </c>
    </row>
    <row r="418" spans="1:7" x14ac:dyDescent="0.25">
      <c r="A418" s="77" t="s">
        <v>22</v>
      </c>
      <c r="B418" s="86" t="s">
        <v>229</v>
      </c>
      <c r="C418" s="86" t="s">
        <v>425</v>
      </c>
      <c r="D418" s="87">
        <v>800</v>
      </c>
      <c r="E418" s="120">
        <f>73513.9-42143.1</f>
        <v>31370.799999999996</v>
      </c>
      <c r="F418" s="120">
        <v>62603</v>
      </c>
      <c r="G418" s="120">
        <v>38285.5</v>
      </c>
    </row>
    <row r="419" spans="1:7" ht="75" x14ac:dyDescent="0.25">
      <c r="A419" s="74" t="s">
        <v>486</v>
      </c>
      <c r="B419" s="86" t="s">
        <v>229</v>
      </c>
      <c r="C419" s="86" t="s">
        <v>426</v>
      </c>
      <c r="D419" s="87"/>
      <c r="E419" s="120">
        <f>SUM(E420)</f>
        <v>28369</v>
      </c>
      <c r="F419" s="120">
        <f t="shared" ref="F419:G419" si="136">SUM(F420)</f>
        <v>33518.800000000003</v>
      </c>
      <c r="G419" s="120">
        <f t="shared" si="136"/>
        <v>20498.8</v>
      </c>
    </row>
    <row r="420" spans="1:7" x14ac:dyDescent="0.25">
      <c r="A420" s="82" t="s">
        <v>22</v>
      </c>
      <c r="B420" s="86" t="s">
        <v>229</v>
      </c>
      <c r="C420" s="86" t="s">
        <v>426</v>
      </c>
      <c r="D420" s="87">
        <v>800</v>
      </c>
      <c r="E420" s="120">
        <f>39057.5-10688.5</f>
        <v>28369</v>
      </c>
      <c r="F420" s="120">
        <v>33518.800000000003</v>
      </c>
      <c r="G420" s="120">
        <v>20498.8</v>
      </c>
    </row>
    <row r="421" spans="1:7" ht="75" x14ac:dyDescent="0.25">
      <c r="A421" s="74" t="s">
        <v>487</v>
      </c>
      <c r="B421" s="86" t="s">
        <v>229</v>
      </c>
      <c r="C421" s="86" t="s">
        <v>427</v>
      </c>
      <c r="D421" s="87"/>
      <c r="E421" s="120">
        <f>SUM(E422)</f>
        <v>9314.5</v>
      </c>
      <c r="F421" s="120">
        <f t="shared" ref="F421:G421" si="137">SUM(F422)</f>
        <v>28257.4</v>
      </c>
      <c r="G421" s="120">
        <f t="shared" si="137"/>
        <v>17281.099999999999</v>
      </c>
    </row>
    <row r="422" spans="1:7" x14ac:dyDescent="0.25">
      <c r="A422" s="77" t="s">
        <v>22</v>
      </c>
      <c r="B422" s="86" t="s">
        <v>229</v>
      </c>
      <c r="C422" s="86" t="s">
        <v>427</v>
      </c>
      <c r="D422" s="87">
        <v>800</v>
      </c>
      <c r="E422" s="120">
        <f>38083-28768.5</f>
        <v>9314.5</v>
      </c>
      <c r="F422" s="120">
        <v>28257.4</v>
      </c>
      <c r="G422" s="120">
        <v>17281.099999999999</v>
      </c>
    </row>
    <row r="423" spans="1:7" ht="30" x14ac:dyDescent="0.25">
      <c r="A423" s="65" t="s">
        <v>595</v>
      </c>
      <c r="B423" s="86" t="s">
        <v>229</v>
      </c>
      <c r="C423" s="86" t="s">
        <v>597</v>
      </c>
      <c r="D423" s="87"/>
      <c r="E423" s="120">
        <f>E424</f>
        <v>227517.09999999998</v>
      </c>
      <c r="F423" s="120">
        <f t="shared" ref="F423:G423" si="138">F424</f>
        <v>106656.6</v>
      </c>
      <c r="G423" s="120">
        <f t="shared" si="138"/>
        <v>0</v>
      </c>
    </row>
    <row r="424" spans="1:7" x14ac:dyDescent="0.25">
      <c r="A424" s="65" t="s">
        <v>596</v>
      </c>
      <c r="B424" s="86" t="s">
        <v>229</v>
      </c>
      <c r="C424" s="86" t="s">
        <v>598</v>
      </c>
      <c r="D424" s="87"/>
      <c r="E424" s="120">
        <f>E425+E426</f>
        <v>227517.09999999998</v>
      </c>
      <c r="F424" s="120">
        <f t="shared" ref="F424:G424" si="139">F425+F426</f>
        <v>106656.6</v>
      </c>
      <c r="G424" s="120">
        <f t="shared" si="139"/>
        <v>0</v>
      </c>
    </row>
    <row r="425" spans="1:7" ht="30" x14ac:dyDescent="0.25">
      <c r="A425" s="65" t="s">
        <v>21</v>
      </c>
      <c r="B425" s="86" t="s">
        <v>229</v>
      </c>
      <c r="C425" s="86" t="s">
        <v>598</v>
      </c>
      <c r="D425" s="106">
        <v>200</v>
      </c>
      <c r="E425" s="126">
        <f>1276.6+20000+246863.1+13072.5+2684.8-7727.2-121058.1+2684.8+42061.1-8451.7-539.5</f>
        <v>190866.39999999997</v>
      </c>
      <c r="F425" s="126">
        <v>78997</v>
      </c>
      <c r="G425" s="120">
        <v>0</v>
      </c>
    </row>
    <row r="426" spans="1:7" ht="30" x14ac:dyDescent="0.25">
      <c r="A426" s="65" t="s">
        <v>56</v>
      </c>
      <c r="B426" s="86" t="s">
        <v>229</v>
      </c>
      <c r="C426" s="147" t="s">
        <v>598</v>
      </c>
      <c r="D426" s="17">
        <v>600</v>
      </c>
      <c r="E426" s="126">
        <f>1659.6+26000+8451.7+539.5-0.1</f>
        <v>36650.700000000004</v>
      </c>
      <c r="F426" s="126">
        <f>1659.6+26000</f>
        <v>27659.599999999999</v>
      </c>
      <c r="G426" s="120">
        <v>0</v>
      </c>
    </row>
    <row r="427" spans="1:7" ht="45" x14ac:dyDescent="0.25">
      <c r="A427" s="65" t="s">
        <v>629</v>
      </c>
      <c r="B427" s="86" t="s">
        <v>229</v>
      </c>
      <c r="C427" s="86" t="s">
        <v>631</v>
      </c>
      <c r="D427" s="106"/>
      <c r="E427" s="126">
        <f>E428</f>
        <v>600</v>
      </c>
      <c r="F427" s="126">
        <f t="shared" ref="F427:G428" si="140">F428</f>
        <v>0</v>
      </c>
      <c r="G427" s="120">
        <f t="shared" si="140"/>
        <v>0</v>
      </c>
    </row>
    <row r="428" spans="1:7" ht="45" x14ac:dyDescent="0.25">
      <c r="A428" s="65" t="s">
        <v>630</v>
      </c>
      <c r="B428" s="86" t="s">
        <v>229</v>
      </c>
      <c r="C428" s="86" t="s">
        <v>632</v>
      </c>
      <c r="D428" s="106"/>
      <c r="E428" s="126">
        <f>E429</f>
        <v>600</v>
      </c>
      <c r="F428" s="126">
        <f t="shared" si="140"/>
        <v>0</v>
      </c>
      <c r="G428" s="120">
        <f t="shared" si="140"/>
        <v>0</v>
      </c>
    </row>
    <row r="429" spans="1:7" ht="30" x14ac:dyDescent="0.25">
      <c r="A429" s="65" t="s">
        <v>21</v>
      </c>
      <c r="B429" s="86" t="s">
        <v>229</v>
      </c>
      <c r="C429" s="86" t="s">
        <v>632</v>
      </c>
      <c r="D429" s="106">
        <v>200</v>
      </c>
      <c r="E429" s="126">
        <f>600-200+200</f>
        <v>600</v>
      </c>
      <c r="F429" s="126">
        <v>0</v>
      </c>
      <c r="G429" s="120">
        <v>0</v>
      </c>
    </row>
    <row r="430" spans="1:7" ht="30" x14ac:dyDescent="0.25">
      <c r="A430" s="65" t="s">
        <v>481</v>
      </c>
      <c r="B430" s="86" t="s">
        <v>229</v>
      </c>
      <c r="C430" s="86" t="s">
        <v>389</v>
      </c>
      <c r="D430" s="106"/>
      <c r="E430" s="126">
        <f>E431+E434+E437</f>
        <v>119494.39999999999</v>
      </c>
      <c r="F430" s="126">
        <f t="shared" ref="F430:G430" si="141">F431+F434+F437</f>
        <v>118497.2</v>
      </c>
      <c r="G430" s="126">
        <f t="shared" si="141"/>
        <v>123544.9</v>
      </c>
    </row>
    <row r="431" spans="1:7" x14ac:dyDescent="0.25">
      <c r="A431" s="65" t="s">
        <v>716</v>
      </c>
      <c r="B431" s="86" t="s">
        <v>229</v>
      </c>
      <c r="C431" s="86" t="s">
        <v>599</v>
      </c>
      <c r="D431" s="106"/>
      <c r="E431" s="126">
        <f>SUM(E432)</f>
        <v>118497.2</v>
      </c>
      <c r="F431" s="126">
        <f t="shared" ref="F431:G432" si="142">SUM(F432)</f>
        <v>118497.2</v>
      </c>
      <c r="G431" s="120">
        <f t="shared" si="142"/>
        <v>123544.9</v>
      </c>
    </row>
    <row r="432" spans="1:7" ht="30" x14ac:dyDescent="0.25">
      <c r="A432" s="65" t="s">
        <v>482</v>
      </c>
      <c r="B432" s="86" t="s">
        <v>229</v>
      </c>
      <c r="C432" s="86" t="s">
        <v>484</v>
      </c>
      <c r="D432" s="106"/>
      <c r="E432" s="126">
        <f>SUM(E433)</f>
        <v>118497.2</v>
      </c>
      <c r="F432" s="126">
        <f t="shared" si="142"/>
        <v>118497.2</v>
      </c>
      <c r="G432" s="120">
        <f t="shared" si="142"/>
        <v>123544.9</v>
      </c>
    </row>
    <row r="433" spans="1:7" ht="30" x14ac:dyDescent="0.25">
      <c r="A433" s="1" t="s">
        <v>21</v>
      </c>
      <c r="B433" s="86" t="s">
        <v>229</v>
      </c>
      <c r="C433" s="86" t="s">
        <v>484</v>
      </c>
      <c r="D433" s="106">
        <v>200</v>
      </c>
      <c r="E433" s="126">
        <f>4784.5+2325.3+111387.4</f>
        <v>118497.2</v>
      </c>
      <c r="F433" s="126">
        <f>4784.5+2325.3+111387.4</f>
        <v>118497.2</v>
      </c>
      <c r="G433" s="120">
        <f>4784.5+2628.2+116132.2</f>
        <v>123544.9</v>
      </c>
    </row>
    <row r="434" spans="1:7" ht="30" x14ac:dyDescent="0.25">
      <c r="A434" s="65" t="s">
        <v>633</v>
      </c>
      <c r="B434" s="86" t="s">
        <v>229</v>
      </c>
      <c r="C434" s="86" t="s">
        <v>483</v>
      </c>
      <c r="D434" s="106"/>
      <c r="E434" s="126">
        <f>E435</f>
        <v>400</v>
      </c>
      <c r="F434" s="126">
        <f t="shared" ref="F434:G435" si="143">F435</f>
        <v>0</v>
      </c>
      <c r="G434" s="120">
        <f t="shared" si="143"/>
        <v>0</v>
      </c>
    </row>
    <row r="435" spans="1:7" ht="75" x14ac:dyDescent="0.25">
      <c r="A435" s="65" t="s">
        <v>600</v>
      </c>
      <c r="B435" s="86" t="s">
        <v>229</v>
      </c>
      <c r="C435" s="86" t="s">
        <v>601</v>
      </c>
      <c r="D435" s="106"/>
      <c r="E435" s="126">
        <f>E436</f>
        <v>400</v>
      </c>
      <c r="F435" s="126">
        <f t="shared" si="143"/>
        <v>0</v>
      </c>
      <c r="G435" s="120">
        <f t="shared" si="143"/>
        <v>0</v>
      </c>
    </row>
    <row r="436" spans="1:7" ht="30" x14ac:dyDescent="0.25">
      <c r="A436" s="65" t="s">
        <v>21</v>
      </c>
      <c r="B436" s="86" t="s">
        <v>229</v>
      </c>
      <c r="C436" s="86" t="s">
        <v>601</v>
      </c>
      <c r="D436" s="87">
        <v>200</v>
      </c>
      <c r="E436" s="120">
        <f>600-200</f>
        <v>400</v>
      </c>
      <c r="F436" s="120"/>
      <c r="G436" s="120"/>
    </row>
    <row r="437" spans="1:7" ht="30" x14ac:dyDescent="0.25">
      <c r="A437" s="65" t="s">
        <v>731</v>
      </c>
      <c r="B437" s="86" t="s">
        <v>229</v>
      </c>
      <c r="C437" s="147" t="s">
        <v>730</v>
      </c>
      <c r="D437" s="87"/>
      <c r="E437" s="120">
        <f>SUM(E438)</f>
        <v>597.20000000000005</v>
      </c>
      <c r="F437" s="120">
        <f t="shared" ref="F437:G437" si="144">SUM(F438)</f>
        <v>0</v>
      </c>
      <c r="G437" s="120">
        <f t="shared" si="144"/>
        <v>0</v>
      </c>
    </row>
    <row r="438" spans="1:7" ht="30" x14ac:dyDescent="0.25">
      <c r="A438" s="65" t="s">
        <v>729</v>
      </c>
      <c r="B438" s="86" t="s">
        <v>229</v>
      </c>
      <c r="C438" s="147" t="s">
        <v>730</v>
      </c>
      <c r="D438" s="87"/>
      <c r="E438" s="120">
        <f>SUM(E439)</f>
        <v>597.20000000000005</v>
      </c>
      <c r="F438" s="120">
        <f t="shared" ref="F438:G438" si="145">SUM(F439)</f>
        <v>0</v>
      </c>
      <c r="G438" s="120">
        <f t="shared" si="145"/>
        <v>0</v>
      </c>
    </row>
    <row r="439" spans="1:7" ht="30" x14ac:dyDescent="0.25">
      <c r="A439" s="65" t="s">
        <v>21</v>
      </c>
      <c r="B439" s="86" t="s">
        <v>229</v>
      </c>
      <c r="C439" s="147" t="s">
        <v>730</v>
      </c>
      <c r="D439" s="87">
        <v>200</v>
      </c>
      <c r="E439" s="120">
        <v>597.20000000000005</v>
      </c>
      <c r="F439" s="120">
        <v>0</v>
      </c>
      <c r="G439" s="120">
        <v>0</v>
      </c>
    </row>
    <row r="440" spans="1:7" x14ac:dyDescent="0.25">
      <c r="A440" s="80" t="s">
        <v>142</v>
      </c>
      <c r="B440" s="24" t="s">
        <v>143</v>
      </c>
      <c r="C440" s="24"/>
      <c r="D440" s="25"/>
      <c r="E440" s="12">
        <f>E449+E457+E444+E441</f>
        <v>127530.6</v>
      </c>
      <c r="F440" s="12">
        <f t="shared" ref="F440:G440" si="146">F449+F457+F444+F441</f>
        <v>105555</v>
      </c>
      <c r="G440" s="12">
        <f t="shared" si="146"/>
        <v>108248.40000000001</v>
      </c>
    </row>
    <row r="441" spans="1:7" x14ac:dyDescent="0.25">
      <c r="A441" s="74" t="s">
        <v>10</v>
      </c>
      <c r="B441" s="86" t="s">
        <v>143</v>
      </c>
      <c r="C441" s="86" t="s">
        <v>11</v>
      </c>
      <c r="D441" s="87"/>
      <c r="E441" s="58">
        <f>E442</f>
        <v>90.6</v>
      </c>
      <c r="F441" s="58">
        <f t="shared" ref="F441:G442" si="147">F442</f>
        <v>0</v>
      </c>
      <c r="G441" s="58">
        <f t="shared" si="147"/>
        <v>0</v>
      </c>
    </row>
    <row r="442" spans="1:7" ht="45" x14ac:dyDescent="0.25">
      <c r="A442" s="74" t="s">
        <v>616</v>
      </c>
      <c r="B442" s="86" t="s">
        <v>143</v>
      </c>
      <c r="C442" s="86" t="s">
        <v>602</v>
      </c>
      <c r="D442" s="87"/>
      <c r="E442" s="58">
        <f>E443</f>
        <v>90.6</v>
      </c>
      <c r="F442" s="58">
        <f t="shared" si="147"/>
        <v>0</v>
      </c>
      <c r="G442" s="58">
        <f t="shared" si="147"/>
        <v>0</v>
      </c>
    </row>
    <row r="443" spans="1:7" ht="30" x14ac:dyDescent="0.25">
      <c r="A443" s="65" t="s">
        <v>21</v>
      </c>
      <c r="B443" s="86" t="s">
        <v>143</v>
      </c>
      <c r="C443" s="86" t="s">
        <v>602</v>
      </c>
      <c r="D443" s="87">
        <v>200</v>
      </c>
      <c r="E443" s="58">
        <f>91-0.4</f>
        <v>90.6</v>
      </c>
      <c r="F443" s="12"/>
      <c r="G443" s="12"/>
    </row>
    <row r="444" spans="1:7" ht="30" x14ac:dyDescent="0.25">
      <c r="A444" s="74" t="s">
        <v>447</v>
      </c>
      <c r="B444" s="86" t="s">
        <v>143</v>
      </c>
      <c r="C444" s="86" t="s">
        <v>217</v>
      </c>
      <c r="D444" s="87"/>
      <c r="E444" s="120">
        <f>SUM(E445)</f>
        <v>2.6</v>
      </c>
      <c r="F444" s="120">
        <f t="shared" ref="F444:G447" si="148">SUM(F445)</f>
        <v>2.6</v>
      </c>
      <c r="G444" s="120">
        <f t="shared" si="148"/>
        <v>2.6</v>
      </c>
    </row>
    <row r="445" spans="1:7" ht="45" x14ac:dyDescent="0.25">
      <c r="A445" s="74" t="s">
        <v>506</v>
      </c>
      <c r="B445" s="86" t="s">
        <v>143</v>
      </c>
      <c r="C445" s="86" t="s">
        <v>357</v>
      </c>
      <c r="D445" s="87"/>
      <c r="E445" s="120">
        <f>SUM(E446)</f>
        <v>2.6</v>
      </c>
      <c r="F445" s="120">
        <f t="shared" si="148"/>
        <v>2.6</v>
      </c>
      <c r="G445" s="120">
        <f t="shared" si="148"/>
        <v>2.6</v>
      </c>
    </row>
    <row r="446" spans="1:7" ht="45" x14ac:dyDescent="0.25">
      <c r="A446" s="74" t="s">
        <v>358</v>
      </c>
      <c r="B446" s="86" t="s">
        <v>143</v>
      </c>
      <c r="C446" s="86" t="s">
        <v>359</v>
      </c>
      <c r="D446" s="87"/>
      <c r="E446" s="120">
        <f>SUM(E447)</f>
        <v>2.6</v>
      </c>
      <c r="F446" s="120">
        <f t="shared" si="148"/>
        <v>2.6</v>
      </c>
      <c r="G446" s="120">
        <f t="shared" si="148"/>
        <v>2.6</v>
      </c>
    </row>
    <row r="447" spans="1:7" ht="105" x14ac:dyDescent="0.25">
      <c r="A447" s="132" t="s">
        <v>507</v>
      </c>
      <c r="B447" s="86" t="s">
        <v>143</v>
      </c>
      <c r="C447" s="86" t="s">
        <v>508</v>
      </c>
      <c r="D447" s="87"/>
      <c r="E447" s="120">
        <f>SUM(E448)</f>
        <v>2.6</v>
      </c>
      <c r="F447" s="120">
        <f t="shared" si="148"/>
        <v>2.6</v>
      </c>
      <c r="G447" s="120">
        <f t="shared" si="148"/>
        <v>2.6</v>
      </c>
    </row>
    <row r="448" spans="1:7" ht="30" x14ac:dyDescent="0.25">
      <c r="A448" s="82" t="s">
        <v>21</v>
      </c>
      <c r="B448" s="86" t="s">
        <v>143</v>
      </c>
      <c r="C448" s="86" t="s">
        <v>508</v>
      </c>
      <c r="D448" s="87">
        <v>200</v>
      </c>
      <c r="E448" s="120">
        <v>2.6</v>
      </c>
      <c r="F448" s="120">
        <v>2.6</v>
      </c>
      <c r="G448" s="120">
        <v>2.6</v>
      </c>
    </row>
    <row r="449" spans="1:7" ht="60" x14ac:dyDescent="0.25">
      <c r="A449" s="65" t="s">
        <v>489</v>
      </c>
      <c r="B449" s="15" t="s">
        <v>143</v>
      </c>
      <c r="C449" s="16" t="s">
        <v>93</v>
      </c>
      <c r="D449" s="17"/>
      <c r="E449" s="20">
        <f>SUM(E450)</f>
        <v>51925.4</v>
      </c>
      <c r="F449" s="20">
        <f t="shared" ref="F449:G451" si="149">SUM(F450)</f>
        <v>44362</v>
      </c>
      <c r="G449" s="20">
        <f t="shared" si="149"/>
        <v>46064.700000000004</v>
      </c>
    </row>
    <row r="450" spans="1:7" ht="60" x14ac:dyDescent="0.25">
      <c r="A450" s="65" t="s">
        <v>490</v>
      </c>
      <c r="B450" s="15" t="s">
        <v>143</v>
      </c>
      <c r="C450" s="16" t="s">
        <v>234</v>
      </c>
      <c r="D450" s="17"/>
      <c r="E450" s="120">
        <f>SUM(E451)</f>
        <v>51925.4</v>
      </c>
      <c r="F450" s="120">
        <f t="shared" si="149"/>
        <v>44362</v>
      </c>
      <c r="G450" s="120">
        <f t="shared" si="149"/>
        <v>46064.700000000004</v>
      </c>
    </row>
    <row r="451" spans="1:7" ht="30" x14ac:dyDescent="0.25">
      <c r="A451" s="65" t="s">
        <v>235</v>
      </c>
      <c r="B451" s="15" t="s">
        <v>143</v>
      </c>
      <c r="C451" s="16" t="s">
        <v>236</v>
      </c>
      <c r="D451" s="17"/>
      <c r="E451" s="120">
        <f>SUM(E452)</f>
        <v>51925.4</v>
      </c>
      <c r="F451" s="120">
        <f t="shared" si="149"/>
        <v>44362</v>
      </c>
      <c r="G451" s="120">
        <f t="shared" si="149"/>
        <v>46064.700000000004</v>
      </c>
    </row>
    <row r="452" spans="1:7" ht="30" x14ac:dyDescent="0.25">
      <c r="A452" s="72" t="s">
        <v>42</v>
      </c>
      <c r="B452" s="15" t="s">
        <v>143</v>
      </c>
      <c r="C452" s="16" t="s">
        <v>237</v>
      </c>
      <c r="D452" s="17"/>
      <c r="E452" s="120">
        <f>SUM(E453:E456)</f>
        <v>51925.4</v>
      </c>
      <c r="F452" s="120">
        <f t="shared" ref="F452:G452" si="150">SUM(F453:F456)</f>
        <v>44362</v>
      </c>
      <c r="G452" s="120">
        <f t="shared" si="150"/>
        <v>46064.700000000004</v>
      </c>
    </row>
    <row r="453" spans="1:7" ht="60" x14ac:dyDescent="0.25">
      <c r="A453" s="65" t="s">
        <v>14</v>
      </c>
      <c r="B453" s="15" t="s">
        <v>143</v>
      </c>
      <c r="C453" s="16" t="s">
        <v>237</v>
      </c>
      <c r="D453" s="17">
        <v>100</v>
      </c>
      <c r="E453" s="120">
        <f>40908.6+7821.5+38.3+3.6+406.1+79.8</f>
        <v>49257.9</v>
      </c>
      <c r="F453" s="120">
        <v>42568.7</v>
      </c>
      <c r="G453" s="120">
        <v>44271.4</v>
      </c>
    </row>
    <row r="454" spans="1:7" ht="30" x14ac:dyDescent="0.25">
      <c r="A454" s="65" t="s">
        <v>21</v>
      </c>
      <c r="B454" s="15" t="s">
        <v>143</v>
      </c>
      <c r="C454" s="16" t="s">
        <v>237</v>
      </c>
      <c r="D454" s="17">
        <v>200</v>
      </c>
      <c r="E454" s="120">
        <f>1698-38.3-3.6</f>
        <v>1656.1000000000001</v>
      </c>
      <c r="F454" s="120">
        <v>1750.8</v>
      </c>
      <c r="G454" s="120">
        <v>1750.8</v>
      </c>
    </row>
    <row r="455" spans="1:7" x14ac:dyDescent="0.25">
      <c r="A455" s="65" t="s">
        <v>29</v>
      </c>
      <c r="B455" s="15" t="s">
        <v>143</v>
      </c>
      <c r="C455" s="16" t="s">
        <v>237</v>
      </c>
      <c r="D455" s="17">
        <v>300</v>
      </c>
      <c r="E455" s="120">
        <f>750.8+232.8</f>
        <v>983.59999999999991</v>
      </c>
      <c r="F455" s="120">
        <v>0</v>
      </c>
      <c r="G455" s="120">
        <v>0</v>
      </c>
    </row>
    <row r="456" spans="1:7" x14ac:dyDescent="0.25">
      <c r="A456" s="114" t="s">
        <v>22</v>
      </c>
      <c r="B456" s="15" t="s">
        <v>143</v>
      </c>
      <c r="C456" s="16" t="s">
        <v>237</v>
      </c>
      <c r="D456" s="17">
        <v>800</v>
      </c>
      <c r="E456" s="120">
        <f>42.5-14.7</f>
        <v>27.8</v>
      </c>
      <c r="F456" s="120">
        <v>42.5</v>
      </c>
      <c r="G456" s="120">
        <v>42.5</v>
      </c>
    </row>
    <row r="457" spans="1:7" ht="45" x14ac:dyDescent="0.25">
      <c r="A457" s="74" t="s">
        <v>488</v>
      </c>
      <c r="B457" s="86" t="s">
        <v>143</v>
      </c>
      <c r="C457" s="86" t="s">
        <v>100</v>
      </c>
      <c r="D457" s="87"/>
      <c r="E457" s="120">
        <f>SUM(E458)</f>
        <v>75512</v>
      </c>
      <c r="F457" s="120">
        <f t="shared" ref="F457:G458" si="151">SUM(F458)</f>
        <v>61190.400000000001</v>
      </c>
      <c r="G457" s="120">
        <f t="shared" si="151"/>
        <v>62181.1</v>
      </c>
    </row>
    <row r="458" spans="1:7" ht="45" x14ac:dyDescent="0.25">
      <c r="A458" s="74" t="s">
        <v>144</v>
      </c>
      <c r="B458" s="86" t="s">
        <v>143</v>
      </c>
      <c r="C458" s="86" t="s">
        <v>145</v>
      </c>
      <c r="D458" s="87"/>
      <c r="E458" s="120">
        <f>SUM(E459)</f>
        <v>75512</v>
      </c>
      <c r="F458" s="120">
        <f t="shared" si="151"/>
        <v>61190.400000000001</v>
      </c>
      <c r="G458" s="120">
        <f t="shared" si="151"/>
        <v>62181.1</v>
      </c>
    </row>
    <row r="459" spans="1:7" ht="30" x14ac:dyDescent="0.25">
      <c r="A459" s="82" t="s">
        <v>55</v>
      </c>
      <c r="B459" s="86" t="s">
        <v>143</v>
      </c>
      <c r="C459" s="86" t="s">
        <v>146</v>
      </c>
      <c r="D459" s="87"/>
      <c r="E459" s="120">
        <f>SUM(E460:E462)</f>
        <v>75512</v>
      </c>
      <c r="F459" s="120">
        <f t="shared" ref="F459:G459" si="152">SUM(F460:F462)</f>
        <v>61190.400000000001</v>
      </c>
      <c r="G459" s="120">
        <f t="shared" si="152"/>
        <v>62181.1</v>
      </c>
    </row>
    <row r="460" spans="1:7" ht="60" x14ac:dyDescent="0.25">
      <c r="A460" s="82" t="s">
        <v>14</v>
      </c>
      <c r="B460" s="86" t="s">
        <v>143</v>
      </c>
      <c r="C460" s="86" t="s">
        <v>146</v>
      </c>
      <c r="D460" s="87">
        <v>100</v>
      </c>
      <c r="E460" s="120">
        <f>38174.7+100+7608.2+2440.4+4555.6</f>
        <v>52878.899999999994</v>
      </c>
      <c r="F460" s="120">
        <v>39644.800000000003</v>
      </c>
      <c r="G460" s="120">
        <v>41230.5</v>
      </c>
    </row>
    <row r="461" spans="1:7" ht="30" x14ac:dyDescent="0.25">
      <c r="A461" s="65" t="s">
        <v>21</v>
      </c>
      <c r="B461" s="86" t="s">
        <v>143</v>
      </c>
      <c r="C461" s="86" t="s">
        <v>146</v>
      </c>
      <c r="D461" s="87">
        <v>200</v>
      </c>
      <c r="E461" s="120">
        <f>2855.3+600+574.4</f>
        <v>4029.7000000000003</v>
      </c>
      <c r="F461" s="120">
        <v>2077.6</v>
      </c>
      <c r="G461" s="120">
        <v>1482.6</v>
      </c>
    </row>
    <row r="462" spans="1:7" x14ac:dyDescent="0.25">
      <c r="A462" s="114" t="s">
        <v>22</v>
      </c>
      <c r="B462" s="86" t="s">
        <v>143</v>
      </c>
      <c r="C462" s="86" t="s">
        <v>146</v>
      </c>
      <c r="D462" s="87">
        <v>800</v>
      </c>
      <c r="E462" s="120">
        <f>25468-600-5050-5298+5500-1416.6</f>
        <v>18603.400000000001</v>
      </c>
      <c r="F462" s="120">
        <f>25468-6000</f>
        <v>19468</v>
      </c>
      <c r="G462" s="120">
        <f>25468-6000</f>
        <v>19468</v>
      </c>
    </row>
    <row r="463" spans="1:7" x14ac:dyDescent="0.25">
      <c r="A463" s="9" t="s">
        <v>147</v>
      </c>
      <c r="B463" s="10" t="s">
        <v>148</v>
      </c>
      <c r="C463" s="14"/>
      <c r="D463" s="11"/>
      <c r="E463" s="95">
        <f>SUM(E464+E497+E594+E615+E548)</f>
        <v>3982000.8000000003</v>
      </c>
      <c r="F463" s="95">
        <f>SUM(F464+F497+F594+F615+F548)</f>
        <v>3920677.1</v>
      </c>
      <c r="G463" s="95">
        <f>SUM(G464+G497+G594+G615+G548)</f>
        <v>4032349.6</v>
      </c>
    </row>
    <row r="464" spans="1:7" x14ac:dyDescent="0.25">
      <c r="A464" s="9" t="s">
        <v>264</v>
      </c>
      <c r="B464" s="10" t="s">
        <v>265</v>
      </c>
      <c r="C464" s="14"/>
      <c r="D464" s="11"/>
      <c r="E464" s="95">
        <f>SUM(E470)+E465</f>
        <v>1427102.7999999998</v>
      </c>
      <c r="F464" s="95">
        <f t="shared" ref="F464:G464" si="153">SUM(F470)+F465</f>
        <v>1264538.7</v>
      </c>
      <c r="G464" s="95">
        <f t="shared" si="153"/>
        <v>1311756.2</v>
      </c>
    </row>
    <row r="465" spans="1:7" x14ac:dyDescent="0.25">
      <c r="A465" s="65" t="s">
        <v>10</v>
      </c>
      <c r="B465" s="15" t="s">
        <v>265</v>
      </c>
      <c r="C465" s="16" t="s">
        <v>11</v>
      </c>
      <c r="D465" s="17"/>
      <c r="E465" s="96">
        <f>E466+E468</f>
        <v>33712.899999999994</v>
      </c>
      <c r="F465" s="96">
        <f t="shared" ref="F465:G466" si="154">F466</f>
        <v>0</v>
      </c>
      <c r="G465" s="96">
        <f t="shared" si="154"/>
        <v>0</v>
      </c>
    </row>
    <row r="466" spans="1:7" ht="30" x14ac:dyDescent="0.25">
      <c r="A466" s="65" t="s">
        <v>606</v>
      </c>
      <c r="B466" s="15" t="s">
        <v>265</v>
      </c>
      <c r="C466" s="16" t="s">
        <v>607</v>
      </c>
      <c r="D466" s="17"/>
      <c r="E466" s="96">
        <f>E467</f>
        <v>29639.699999999997</v>
      </c>
      <c r="F466" s="96">
        <f t="shared" si="154"/>
        <v>0</v>
      </c>
      <c r="G466" s="96">
        <f t="shared" si="154"/>
        <v>0</v>
      </c>
    </row>
    <row r="467" spans="1:7" ht="30" x14ac:dyDescent="0.25">
      <c r="A467" s="65" t="s">
        <v>56</v>
      </c>
      <c r="B467" s="15" t="s">
        <v>265</v>
      </c>
      <c r="C467" s="16" t="s">
        <v>607</v>
      </c>
      <c r="D467" s="17">
        <v>600</v>
      </c>
      <c r="E467" s="96">
        <f>6628.9+23010.8</f>
        <v>29639.699999999997</v>
      </c>
      <c r="F467" s="96">
        <v>0</v>
      </c>
      <c r="G467" s="96">
        <v>0</v>
      </c>
    </row>
    <row r="468" spans="1:7" s="155" customFormat="1" x14ac:dyDescent="0.25">
      <c r="A468" s="65" t="s">
        <v>208</v>
      </c>
      <c r="B468" s="15" t="s">
        <v>265</v>
      </c>
      <c r="C468" s="144" t="s">
        <v>209</v>
      </c>
      <c r="D468" s="17"/>
      <c r="E468" s="96">
        <f>E469</f>
        <v>4073.2</v>
      </c>
      <c r="F468" s="96">
        <f t="shared" ref="F468:G468" si="155">F469</f>
        <v>0</v>
      </c>
      <c r="G468" s="96">
        <f t="shared" si="155"/>
        <v>0</v>
      </c>
    </row>
    <row r="469" spans="1:7" s="155" customFormat="1" ht="30" x14ac:dyDescent="0.25">
      <c r="A469" s="65" t="s">
        <v>56</v>
      </c>
      <c r="B469" s="15" t="s">
        <v>265</v>
      </c>
      <c r="C469" s="144" t="s">
        <v>209</v>
      </c>
      <c r="D469" s="17">
        <v>600</v>
      </c>
      <c r="E469" s="96">
        <v>4073.2</v>
      </c>
      <c r="F469" s="96">
        <v>0</v>
      </c>
      <c r="G469" s="96">
        <v>0</v>
      </c>
    </row>
    <row r="470" spans="1:7" ht="27.75" customHeight="1" x14ac:dyDescent="0.25">
      <c r="A470" s="65" t="s">
        <v>491</v>
      </c>
      <c r="B470" s="15" t="s">
        <v>265</v>
      </c>
      <c r="C470" s="16" t="s">
        <v>266</v>
      </c>
      <c r="D470" s="17"/>
      <c r="E470" s="96">
        <f>SUM(E471+E491)</f>
        <v>1393389.9</v>
      </c>
      <c r="F470" s="96">
        <f>SUM(F471+F491)</f>
        <v>1264538.7</v>
      </c>
      <c r="G470" s="96">
        <f>SUM(G471+G491)</f>
        <v>1311756.2</v>
      </c>
    </row>
    <row r="471" spans="1:7" ht="30" x14ac:dyDescent="0.25">
      <c r="A471" s="60" t="s">
        <v>267</v>
      </c>
      <c r="B471" s="15" t="s">
        <v>265</v>
      </c>
      <c r="C471" s="16" t="s">
        <v>268</v>
      </c>
      <c r="D471" s="17"/>
      <c r="E471" s="96">
        <f>SUM(E472)+E481+E488</f>
        <v>1392446.9</v>
      </c>
      <c r="F471" s="96">
        <f>SUM(F472)+F481+F488</f>
        <v>1263258.3999999999</v>
      </c>
      <c r="G471" s="96">
        <f>SUM(G472)+G481+G488</f>
        <v>1310475.8999999999</v>
      </c>
    </row>
    <row r="472" spans="1:7" ht="45" x14ac:dyDescent="0.25">
      <c r="A472" s="60" t="s">
        <v>269</v>
      </c>
      <c r="B472" s="15" t="s">
        <v>265</v>
      </c>
      <c r="C472" s="16" t="s">
        <v>270</v>
      </c>
      <c r="D472" s="17"/>
      <c r="E472" s="96">
        <f>SUM(E473)+E477+E479+E475</f>
        <v>1316017.2</v>
      </c>
      <c r="F472" s="96">
        <f t="shared" ref="F472:G472" si="156">SUM(F473)+F477+F479+F475</f>
        <v>1261336.8999999999</v>
      </c>
      <c r="G472" s="96">
        <f t="shared" si="156"/>
        <v>1308554.3999999999</v>
      </c>
    </row>
    <row r="473" spans="1:7" ht="30" x14ac:dyDescent="0.25">
      <c r="A473" s="60" t="s">
        <v>51</v>
      </c>
      <c r="B473" s="15" t="s">
        <v>265</v>
      </c>
      <c r="C473" s="16" t="s">
        <v>271</v>
      </c>
      <c r="D473" s="17"/>
      <c r="E473" s="96">
        <f>SUM(E474)</f>
        <v>679749.20000000007</v>
      </c>
      <c r="F473" s="96">
        <f t="shared" ref="F473:G473" si="157">SUM(F474)</f>
        <v>627225.69999999995</v>
      </c>
      <c r="G473" s="96">
        <f t="shared" si="157"/>
        <v>631304.19999999995</v>
      </c>
    </row>
    <row r="474" spans="1:7" ht="30" x14ac:dyDescent="0.25">
      <c r="A474" s="1" t="s">
        <v>56</v>
      </c>
      <c r="B474" s="15" t="s">
        <v>265</v>
      </c>
      <c r="C474" s="16" t="s">
        <v>271</v>
      </c>
      <c r="D474" s="17">
        <v>600</v>
      </c>
      <c r="E474" s="120">
        <f>630112.1+19128.4-3652.5+2543.3-719.7+887+17491-8577.7+730+1176.2+20631.1</f>
        <v>679749.20000000007</v>
      </c>
      <c r="F474" s="120">
        <v>627225.69999999995</v>
      </c>
      <c r="G474" s="120">
        <v>631304.19999999995</v>
      </c>
    </row>
    <row r="475" spans="1:7" ht="77.25" customHeight="1" x14ac:dyDescent="0.25">
      <c r="A475" s="65" t="s">
        <v>704</v>
      </c>
      <c r="B475" s="15" t="s">
        <v>265</v>
      </c>
      <c r="C475" s="16" t="s">
        <v>708</v>
      </c>
      <c r="D475" s="17"/>
      <c r="E475" s="120">
        <f>E476</f>
        <v>10000</v>
      </c>
      <c r="F475" s="120">
        <f t="shared" ref="F475:G475" si="158">F476</f>
        <v>0</v>
      </c>
      <c r="G475" s="120">
        <f t="shared" si="158"/>
        <v>0</v>
      </c>
    </row>
    <row r="476" spans="1:7" x14ac:dyDescent="0.25">
      <c r="A476" s="114" t="s">
        <v>22</v>
      </c>
      <c r="B476" s="15" t="s">
        <v>265</v>
      </c>
      <c r="C476" s="16" t="s">
        <v>708</v>
      </c>
      <c r="D476" s="17">
        <v>800</v>
      </c>
      <c r="E476" s="120">
        <f>9400+600</f>
        <v>10000</v>
      </c>
      <c r="F476" s="120">
        <v>0</v>
      </c>
      <c r="G476" s="120">
        <v>0</v>
      </c>
    </row>
    <row r="477" spans="1:7" ht="120" x14ac:dyDescent="0.25">
      <c r="A477" s="65" t="s">
        <v>556</v>
      </c>
      <c r="B477" s="15" t="s">
        <v>265</v>
      </c>
      <c r="C477" s="16" t="s">
        <v>378</v>
      </c>
      <c r="D477" s="17"/>
      <c r="E477" s="120">
        <f>E478</f>
        <v>593638.19999999995</v>
      </c>
      <c r="F477" s="120">
        <f t="shared" ref="F477:G477" si="159">F478</f>
        <v>634111.19999999995</v>
      </c>
      <c r="G477" s="120">
        <f t="shared" si="159"/>
        <v>677250.2</v>
      </c>
    </row>
    <row r="478" spans="1:7" ht="30" x14ac:dyDescent="0.25">
      <c r="A478" s="65" t="s">
        <v>56</v>
      </c>
      <c r="B478" s="15" t="s">
        <v>265</v>
      </c>
      <c r="C478" s="16" t="s">
        <v>378</v>
      </c>
      <c r="D478" s="15" t="s">
        <v>272</v>
      </c>
      <c r="E478" s="120">
        <v>593638.19999999995</v>
      </c>
      <c r="F478" s="120">
        <v>634111.19999999995</v>
      </c>
      <c r="G478" s="120">
        <v>677250.2</v>
      </c>
    </row>
    <row r="479" spans="1:7" ht="30" x14ac:dyDescent="0.25">
      <c r="A479" s="65" t="s">
        <v>603</v>
      </c>
      <c r="B479" s="15" t="s">
        <v>265</v>
      </c>
      <c r="C479" s="16" t="s">
        <v>604</v>
      </c>
      <c r="D479" s="17"/>
      <c r="E479" s="120">
        <f>E480</f>
        <v>32629.8</v>
      </c>
      <c r="F479" s="120">
        <f t="shared" ref="F479:G479" si="160">F480</f>
        <v>0</v>
      </c>
      <c r="G479" s="120">
        <f t="shared" si="160"/>
        <v>0</v>
      </c>
    </row>
    <row r="480" spans="1:7" ht="30" x14ac:dyDescent="0.25">
      <c r="A480" s="65" t="s">
        <v>56</v>
      </c>
      <c r="B480" s="15" t="s">
        <v>265</v>
      </c>
      <c r="C480" s="16" t="s">
        <v>604</v>
      </c>
      <c r="D480" s="17">
        <v>600</v>
      </c>
      <c r="E480" s="120">
        <f>1972.5+30902-244.7</f>
        <v>32629.8</v>
      </c>
      <c r="F480" s="120">
        <v>0</v>
      </c>
      <c r="G480" s="120">
        <v>0</v>
      </c>
    </row>
    <row r="481" spans="1:7" ht="28.5" customHeight="1" x14ac:dyDescent="0.25">
      <c r="A481" s="65" t="s">
        <v>568</v>
      </c>
      <c r="B481" s="15" t="s">
        <v>265</v>
      </c>
      <c r="C481" s="16" t="s">
        <v>409</v>
      </c>
      <c r="D481" s="17"/>
      <c r="E481" s="120">
        <f>SUM(E484)+E482+E486</f>
        <v>75929.7</v>
      </c>
      <c r="F481" s="120">
        <f t="shared" ref="F481:G481" si="161">SUM(F484)+F482+F486</f>
        <v>1921.5</v>
      </c>
      <c r="G481" s="120">
        <f t="shared" si="161"/>
        <v>1921.5</v>
      </c>
    </row>
    <row r="482" spans="1:7" ht="30" x14ac:dyDescent="0.25">
      <c r="A482" s="125" t="s">
        <v>405</v>
      </c>
      <c r="B482" s="16" t="s">
        <v>265</v>
      </c>
      <c r="C482" s="16" t="s">
        <v>406</v>
      </c>
      <c r="D482" s="16"/>
      <c r="E482" s="120">
        <f>E483</f>
        <v>3075</v>
      </c>
      <c r="F482" s="120">
        <f t="shared" ref="F482:G482" si="162">F483</f>
        <v>0</v>
      </c>
      <c r="G482" s="120">
        <f t="shared" si="162"/>
        <v>0</v>
      </c>
    </row>
    <row r="483" spans="1:7" ht="30" x14ac:dyDescent="0.25">
      <c r="A483" s="65" t="s">
        <v>56</v>
      </c>
      <c r="B483" s="16" t="s">
        <v>265</v>
      </c>
      <c r="C483" s="16" t="s">
        <v>406</v>
      </c>
      <c r="D483" s="16" t="s">
        <v>272</v>
      </c>
      <c r="E483" s="126">
        <f>8300+650-4727.5-822.5-325</f>
        <v>3075</v>
      </c>
      <c r="F483" s="126">
        <v>0</v>
      </c>
      <c r="G483" s="126">
        <v>0</v>
      </c>
    </row>
    <row r="484" spans="1:7" ht="45" x14ac:dyDescent="0.25">
      <c r="A484" s="65" t="s">
        <v>580</v>
      </c>
      <c r="B484" s="15" t="s">
        <v>265</v>
      </c>
      <c r="C484" s="16" t="s">
        <v>492</v>
      </c>
      <c r="D484" s="17"/>
      <c r="E484" s="120">
        <f>SUM(E485)</f>
        <v>9050.2000000000007</v>
      </c>
      <c r="F484" s="120">
        <f t="shared" ref="F484:G484" si="163">SUM(F485)</f>
        <v>1921.5</v>
      </c>
      <c r="G484" s="120">
        <f t="shared" si="163"/>
        <v>1921.5</v>
      </c>
    </row>
    <row r="485" spans="1:7" ht="30" x14ac:dyDescent="0.25">
      <c r="A485" s="157" t="s">
        <v>705</v>
      </c>
      <c r="B485" s="15" t="s">
        <v>265</v>
      </c>
      <c r="C485" s="16" t="s">
        <v>492</v>
      </c>
      <c r="D485" s="17">
        <v>400</v>
      </c>
      <c r="E485" s="120">
        <v>9050.2000000000007</v>
      </c>
      <c r="F485" s="120">
        <v>1921.5</v>
      </c>
      <c r="G485" s="120">
        <v>1921.5</v>
      </c>
    </row>
    <row r="486" spans="1:7" ht="30" x14ac:dyDescent="0.25">
      <c r="A486" s="128" t="s">
        <v>542</v>
      </c>
      <c r="B486" s="16" t="s">
        <v>265</v>
      </c>
      <c r="C486" s="108" t="s">
        <v>493</v>
      </c>
      <c r="D486" s="64"/>
      <c r="E486" s="129">
        <f>E487</f>
        <v>63804.5</v>
      </c>
      <c r="F486" s="129">
        <f t="shared" ref="F486:G486" si="164">F487</f>
        <v>0</v>
      </c>
      <c r="G486" s="129">
        <f t="shared" si="164"/>
        <v>0</v>
      </c>
    </row>
    <row r="487" spans="1:7" ht="30" x14ac:dyDescent="0.25">
      <c r="A487" s="128" t="s">
        <v>56</v>
      </c>
      <c r="B487" s="16" t="s">
        <v>265</v>
      </c>
      <c r="C487" s="108" t="s">
        <v>493</v>
      </c>
      <c r="D487" s="64">
        <v>600</v>
      </c>
      <c r="E487" s="129">
        <f>6225.9+397.4+26301.1+1678.8+1856.8+27344.5</f>
        <v>63804.5</v>
      </c>
      <c r="F487" s="133">
        <v>0</v>
      </c>
      <c r="G487" s="134">
        <v>0</v>
      </c>
    </row>
    <row r="488" spans="1:7" ht="30" x14ac:dyDescent="0.25">
      <c r="A488" s="127" t="s">
        <v>494</v>
      </c>
      <c r="B488" s="16" t="s">
        <v>265</v>
      </c>
      <c r="C488" s="108" t="s">
        <v>514</v>
      </c>
      <c r="D488" s="64"/>
      <c r="E488" s="129">
        <f>E489</f>
        <v>500</v>
      </c>
      <c r="F488" s="129">
        <f>F489</f>
        <v>0</v>
      </c>
      <c r="G488" s="129">
        <f>G489</f>
        <v>0</v>
      </c>
    </row>
    <row r="489" spans="1:7" x14ac:dyDescent="0.25">
      <c r="A489" s="127" t="s">
        <v>495</v>
      </c>
      <c r="B489" s="16" t="s">
        <v>265</v>
      </c>
      <c r="C489" s="108" t="s">
        <v>515</v>
      </c>
      <c r="D489" s="64"/>
      <c r="E489" s="129">
        <f>E490</f>
        <v>500</v>
      </c>
      <c r="F489" s="129">
        <f t="shared" ref="F489:G489" si="165">F490</f>
        <v>0</v>
      </c>
      <c r="G489" s="129">
        <f t="shared" si="165"/>
        <v>0</v>
      </c>
    </row>
    <row r="490" spans="1:7" ht="30" x14ac:dyDescent="0.25">
      <c r="A490" s="128" t="s">
        <v>56</v>
      </c>
      <c r="B490" s="16" t="s">
        <v>265</v>
      </c>
      <c r="C490" s="108" t="s">
        <v>515</v>
      </c>
      <c r="D490" s="64">
        <v>600</v>
      </c>
      <c r="E490" s="129">
        <v>500</v>
      </c>
      <c r="F490" s="129">
        <v>0</v>
      </c>
      <c r="G490" s="129">
        <v>0</v>
      </c>
    </row>
    <row r="491" spans="1:7" ht="45" x14ac:dyDescent="0.25">
      <c r="A491" s="97" t="s">
        <v>496</v>
      </c>
      <c r="B491" s="98" t="s">
        <v>265</v>
      </c>
      <c r="C491" s="99" t="s">
        <v>273</v>
      </c>
      <c r="D491" s="98"/>
      <c r="E491" s="100">
        <f>E492</f>
        <v>943</v>
      </c>
      <c r="F491" s="100">
        <f t="shared" ref="F491:G491" si="166">F492</f>
        <v>1280.3</v>
      </c>
      <c r="G491" s="100">
        <f t="shared" si="166"/>
        <v>1280.3</v>
      </c>
    </row>
    <row r="492" spans="1:7" ht="30" x14ac:dyDescent="0.25">
      <c r="A492" s="101" t="s">
        <v>274</v>
      </c>
      <c r="B492" s="98" t="s">
        <v>265</v>
      </c>
      <c r="C492" s="99" t="s">
        <v>275</v>
      </c>
      <c r="D492" s="98"/>
      <c r="E492" s="100">
        <f>E495+E493</f>
        <v>943</v>
      </c>
      <c r="F492" s="100">
        <f t="shared" ref="F492:G492" si="167">F495+F493</f>
        <v>1280.3</v>
      </c>
      <c r="G492" s="100">
        <f t="shared" si="167"/>
        <v>1280.3</v>
      </c>
    </row>
    <row r="493" spans="1:7" ht="30" x14ac:dyDescent="0.25">
      <c r="A493" s="141" t="s">
        <v>286</v>
      </c>
      <c r="B493" s="15" t="s">
        <v>265</v>
      </c>
      <c r="C493" s="108" t="s">
        <v>287</v>
      </c>
      <c r="D493" s="17"/>
      <c r="E493" s="100">
        <f>E494</f>
        <v>162.69999999999999</v>
      </c>
      <c r="F493" s="100">
        <f t="shared" ref="F493:G493" si="168">F494</f>
        <v>0</v>
      </c>
      <c r="G493" s="100">
        <f t="shared" si="168"/>
        <v>0</v>
      </c>
    </row>
    <row r="494" spans="1:7" ht="30" x14ac:dyDescent="0.25">
      <c r="A494" s="65" t="s">
        <v>56</v>
      </c>
      <c r="B494" s="15" t="s">
        <v>265</v>
      </c>
      <c r="C494" s="108" t="s">
        <v>287</v>
      </c>
      <c r="D494" s="17">
        <v>600</v>
      </c>
      <c r="E494" s="100">
        <f>125+37.7</f>
        <v>162.69999999999999</v>
      </c>
      <c r="F494" s="100">
        <v>0</v>
      </c>
      <c r="G494" s="100">
        <v>0</v>
      </c>
    </row>
    <row r="495" spans="1:7" ht="30" x14ac:dyDescent="0.25">
      <c r="A495" s="102" t="s">
        <v>276</v>
      </c>
      <c r="B495" s="98" t="s">
        <v>265</v>
      </c>
      <c r="C495" s="99" t="s">
        <v>277</v>
      </c>
      <c r="D495" s="98"/>
      <c r="E495" s="100">
        <f>E496</f>
        <v>780.3</v>
      </c>
      <c r="F495" s="100">
        <f t="shared" ref="F495:G495" si="169">F496</f>
        <v>1280.3</v>
      </c>
      <c r="G495" s="100">
        <f t="shared" si="169"/>
        <v>1280.3</v>
      </c>
    </row>
    <row r="496" spans="1:7" ht="30" x14ac:dyDescent="0.25">
      <c r="A496" s="1" t="s">
        <v>56</v>
      </c>
      <c r="B496" s="98" t="s">
        <v>265</v>
      </c>
      <c r="C496" s="99" t="s">
        <v>277</v>
      </c>
      <c r="D496" s="98">
        <v>600</v>
      </c>
      <c r="E496" s="120">
        <f>1280.3-500</f>
        <v>780.3</v>
      </c>
      <c r="F496" s="120">
        <v>1280.3</v>
      </c>
      <c r="G496" s="120">
        <v>1280.3</v>
      </c>
    </row>
    <row r="497" spans="1:7" x14ac:dyDescent="0.25">
      <c r="A497" s="9" t="s">
        <v>278</v>
      </c>
      <c r="B497" s="14" t="s">
        <v>279</v>
      </c>
      <c r="C497" s="14"/>
      <c r="D497" s="69"/>
      <c r="E497" s="148">
        <f>E503+E498</f>
        <v>2081227.7</v>
      </c>
      <c r="F497" s="148">
        <f t="shared" ref="F497:G497" si="170">F503+F498</f>
        <v>2193434.9</v>
      </c>
      <c r="G497" s="148">
        <f t="shared" si="170"/>
        <v>2280334.7000000002</v>
      </c>
    </row>
    <row r="498" spans="1:7" x14ac:dyDescent="0.25">
      <c r="A498" s="65" t="s">
        <v>10</v>
      </c>
      <c r="B498" s="16" t="s">
        <v>279</v>
      </c>
      <c r="C498" s="16" t="s">
        <v>11</v>
      </c>
      <c r="D498" s="17"/>
      <c r="E498" s="100">
        <f>E499+E501</f>
        <v>8519.1</v>
      </c>
      <c r="F498" s="100">
        <f t="shared" ref="F498:G499" si="171">F499</f>
        <v>0</v>
      </c>
      <c r="G498" s="100">
        <f t="shared" si="171"/>
        <v>0</v>
      </c>
    </row>
    <row r="499" spans="1:7" ht="30" x14ac:dyDescent="0.25">
      <c r="A499" s="65" t="s">
        <v>606</v>
      </c>
      <c r="B499" s="16" t="s">
        <v>279</v>
      </c>
      <c r="C499" s="16" t="s">
        <v>607</v>
      </c>
      <c r="D499" s="17"/>
      <c r="E499" s="100">
        <f>E500</f>
        <v>7483.8</v>
      </c>
      <c r="F499" s="100">
        <f t="shared" si="171"/>
        <v>0</v>
      </c>
      <c r="G499" s="100">
        <f t="shared" si="171"/>
        <v>0</v>
      </c>
    </row>
    <row r="500" spans="1:7" ht="30" x14ac:dyDescent="0.25">
      <c r="A500" s="65" t="s">
        <v>56</v>
      </c>
      <c r="B500" s="16" t="s">
        <v>279</v>
      </c>
      <c r="C500" s="16" t="s">
        <v>607</v>
      </c>
      <c r="D500" s="17">
        <v>600</v>
      </c>
      <c r="E500" s="100">
        <f>2765.7+4718.1</f>
        <v>7483.8</v>
      </c>
      <c r="F500" s="100">
        <v>0</v>
      </c>
      <c r="G500" s="100">
        <v>0</v>
      </c>
    </row>
    <row r="501" spans="1:7" s="155" customFormat="1" x14ac:dyDescent="0.25">
      <c r="A501" s="65" t="s">
        <v>208</v>
      </c>
      <c r="B501" s="16" t="s">
        <v>279</v>
      </c>
      <c r="C501" s="144" t="s">
        <v>209</v>
      </c>
      <c r="D501" s="17"/>
      <c r="E501" s="100">
        <f>E502</f>
        <v>1035.3</v>
      </c>
      <c r="F501" s="100">
        <f t="shared" ref="F501:G501" si="172">F502</f>
        <v>0</v>
      </c>
      <c r="G501" s="100">
        <f t="shared" si="172"/>
        <v>0</v>
      </c>
    </row>
    <row r="502" spans="1:7" s="155" customFormat="1" ht="30" x14ac:dyDescent="0.25">
      <c r="A502" s="65" t="s">
        <v>56</v>
      </c>
      <c r="B502" s="16" t="s">
        <v>279</v>
      </c>
      <c r="C502" s="144" t="s">
        <v>209</v>
      </c>
      <c r="D502" s="17">
        <v>600</v>
      </c>
      <c r="E502" s="100">
        <v>1035.3</v>
      </c>
      <c r="F502" s="100">
        <v>0</v>
      </c>
      <c r="G502" s="100">
        <v>0</v>
      </c>
    </row>
    <row r="503" spans="1:7" ht="16.5" customHeight="1" x14ac:dyDescent="0.25">
      <c r="A503" s="1" t="s">
        <v>491</v>
      </c>
      <c r="B503" s="15" t="s">
        <v>279</v>
      </c>
      <c r="C503" s="16" t="s">
        <v>266</v>
      </c>
      <c r="D503" s="17"/>
      <c r="E503" s="96">
        <f>SUM(E504+E541)</f>
        <v>2072708.5999999999</v>
      </c>
      <c r="F503" s="96">
        <f>SUM(F504+F541)</f>
        <v>2193434.9</v>
      </c>
      <c r="G503" s="96">
        <f>SUM(G504+G541)</f>
        <v>2280334.7000000002</v>
      </c>
    </row>
    <row r="504" spans="1:7" ht="30" x14ac:dyDescent="0.25">
      <c r="A504" s="60" t="s">
        <v>267</v>
      </c>
      <c r="B504" s="15" t="s">
        <v>279</v>
      </c>
      <c r="C504" s="16" t="s">
        <v>268</v>
      </c>
      <c r="D504" s="17"/>
      <c r="E504" s="96">
        <f>E508+E531+E538+E505</f>
        <v>2070718.7999999998</v>
      </c>
      <c r="F504" s="96">
        <f>F508+F531+F538+F505</f>
        <v>2191371.2999999998</v>
      </c>
      <c r="G504" s="96">
        <f>G508+G531+G538+G505</f>
        <v>2278271.1</v>
      </c>
    </row>
    <row r="505" spans="1:7" x14ac:dyDescent="0.25">
      <c r="A505" s="61" t="s">
        <v>717</v>
      </c>
      <c r="B505" s="15" t="s">
        <v>279</v>
      </c>
      <c r="C505" s="16" t="s">
        <v>538</v>
      </c>
      <c r="D505" s="17"/>
      <c r="E505" s="96">
        <f>E506</f>
        <v>526916.80000000005</v>
      </c>
      <c r="F505" s="96">
        <f t="shared" ref="F505:G506" si="173">F506</f>
        <v>613993.5</v>
      </c>
      <c r="G505" s="96">
        <f t="shared" si="173"/>
        <v>636456.70000000007</v>
      </c>
    </row>
    <row r="506" spans="1:7" x14ac:dyDescent="0.25">
      <c r="A506" s="132" t="s">
        <v>537</v>
      </c>
      <c r="B506" s="15" t="s">
        <v>279</v>
      </c>
      <c r="C506" s="16" t="s">
        <v>539</v>
      </c>
      <c r="D506" s="17"/>
      <c r="E506" s="96">
        <f>E507</f>
        <v>526916.80000000005</v>
      </c>
      <c r="F506" s="96">
        <f t="shared" si="173"/>
        <v>613993.5</v>
      </c>
      <c r="G506" s="96">
        <f t="shared" si="173"/>
        <v>636456.70000000007</v>
      </c>
    </row>
    <row r="507" spans="1:7" ht="30" x14ac:dyDescent="0.25">
      <c r="A507" s="157" t="s">
        <v>705</v>
      </c>
      <c r="B507" s="15" t="s">
        <v>279</v>
      </c>
      <c r="C507" s="16" t="s">
        <v>539</v>
      </c>
      <c r="D507" s="17">
        <v>400</v>
      </c>
      <c r="E507" s="96">
        <f>64.6+31550.4+495301.8</f>
        <v>526916.80000000005</v>
      </c>
      <c r="F507" s="96">
        <f>36839.6+577153.9</f>
        <v>613993.5</v>
      </c>
      <c r="G507" s="96">
        <f>38187.4+598269.3</f>
        <v>636456.70000000007</v>
      </c>
    </row>
    <row r="508" spans="1:7" ht="31.5" customHeight="1" x14ac:dyDescent="0.25">
      <c r="A508" s="61" t="s">
        <v>269</v>
      </c>
      <c r="B508" s="15" t="s">
        <v>279</v>
      </c>
      <c r="C508" s="16" t="s">
        <v>270</v>
      </c>
      <c r="D508" s="17"/>
      <c r="E508" s="96">
        <f>E511+E513+E515+E517+E519+E527+E529+E521+E523+E525+E509</f>
        <v>1440007.0999999999</v>
      </c>
      <c r="F508" s="96">
        <f t="shared" ref="F508:G508" si="174">F511+F513+F515+F517+F519+F527+F529+F521+F523+F525+F509</f>
        <v>1577377.8</v>
      </c>
      <c r="G508" s="96">
        <f t="shared" si="174"/>
        <v>1641814.4000000001</v>
      </c>
    </row>
    <row r="509" spans="1:7" ht="45" x14ac:dyDescent="0.25">
      <c r="A509" s="72" t="s">
        <v>702</v>
      </c>
      <c r="B509" s="15" t="s">
        <v>279</v>
      </c>
      <c r="C509" s="16" t="s">
        <v>681</v>
      </c>
      <c r="D509" s="17"/>
      <c r="E509" s="96">
        <f>E510</f>
        <v>54924</v>
      </c>
      <c r="F509" s="96">
        <f t="shared" ref="F509:G509" si="175">F510</f>
        <v>137487.4</v>
      </c>
      <c r="G509" s="96">
        <f t="shared" si="175"/>
        <v>142333.70000000001</v>
      </c>
    </row>
    <row r="510" spans="1:7" ht="30" x14ac:dyDescent="0.25">
      <c r="A510" s="65" t="s">
        <v>56</v>
      </c>
      <c r="B510" s="15" t="s">
        <v>279</v>
      </c>
      <c r="C510" s="16" t="s">
        <v>681</v>
      </c>
      <c r="D510" s="17">
        <v>600</v>
      </c>
      <c r="E510" s="96">
        <v>54924</v>
      </c>
      <c r="F510" s="96">
        <f>137487.4</f>
        <v>137487.4</v>
      </c>
      <c r="G510" s="96">
        <f>142333.7</f>
        <v>142333.70000000001</v>
      </c>
    </row>
    <row r="511" spans="1:7" ht="30" x14ac:dyDescent="0.25">
      <c r="A511" s="75" t="s">
        <v>280</v>
      </c>
      <c r="B511" s="16" t="s">
        <v>279</v>
      </c>
      <c r="C511" s="76" t="s">
        <v>281</v>
      </c>
      <c r="D511" s="103"/>
      <c r="E511" s="96">
        <f>E512</f>
        <v>13444.699999999999</v>
      </c>
      <c r="F511" s="96">
        <f t="shared" ref="F511:G511" si="176">F512</f>
        <v>13207.3</v>
      </c>
      <c r="G511" s="96">
        <f t="shared" si="176"/>
        <v>13207.3</v>
      </c>
    </row>
    <row r="512" spans="1:7" ht="30" x14ac:dyDescent="0.25">
      <c r="A512" s="1" t="s">
        <v>56</v>
      </c>
      <c r="B512" s="16" t="s">
        <v>279</v>
      </c>
      <c r="C512" s="76" t="s">
        <v>281</v>
      </c>
      <c r="D512" s="104">
        <v>600</v>
      </c>
      <c r="E512" s="120">
        <f>13207.3-1800+900+137.4+1000</f>
        <v>13444.699999999999</v>
      </c>
      <c r="F512" s="120">
        <v>13207.3</v>
      </c>
      <c r="G512" s="120">
        <v>13207.3</v>
      </c>
    </row>
    <row r="513" spans="1:7" ht="30" x14ac:dyDescent="0.25">
      <c r="A513" s="75" t="s">
        <v>382</v>
      </c>
      <c r="B513" s="16" t="s">
        <v>279</v>
      </c>
      <c r="C513" s="76" t="s">
        <v>282</v>
      </c>
      <c r="D513" s="103"/>
      <c r="E513" s="96">
        <f>E514</f>
        <v>480</v>
      </c>
      <c r="F513" s="96">
        <f t="shared" ref="F513:G513" si="177">F514</f>
        <v>480</v>
      </c>
      <c r="G513" s="96">
        <f t="shared" si="177"/>
        <v>480</v>
      </c>
    </row>
    <row r="514" spans="1:7" ht="30" x14ac:dyDescent="0.25">
      <c r="A514" s="1" t="s">
        <v>56</v>
      </c>
      <c r="B514" s="16" t="s">
        <v>279</v>
      </c>
      <c r="C514" s="76" t="s">
        <v>282</v>
      </c>
      <c r="D514" s="104">
        <v>600</v>
      </c>
      <c r="E514" s="120">
        <v>480</v>
      </c>
      <c r="F514" s="120">
        <v>480</v>
      </c>
      <c r="G514" s="120">
        <v>480</v>
      </c>
    </row>
    <row r="515" spans="1:7" ht="30" x14ac:dyDescent="0.25">
      <c r="A515" s="61" t="s">
        <v>51</v>
      </c>
      <c r="B515" s="15" t="s">
        <v>279</v>
      </c>
      <c r="C515" s="16" t="s">
        <v>271</v>
      </c>
      <c r="D515" s="17"/>
      <c r="E515" s="96">
        <f>E516</f>
        <v>412883.6</v>
      </c>
      <c r="F515" s="96">
        <f t="shared" ref="F515:G515" si="178">F516</f>
        <v>332169.09999999998</v>
      </c>
      <c r="G515" s="96">
        <f t="shared" si="178"/>
        <v>331530.3</v>
      </c>
    </row>
    <row r="516" spans="1:7" ht="30" x14ac:dyDescent="0.25">
      <c r="A516" s="1" t="s">
        <v>56</v>
      </c>
      <c r="B516" s="16" t="s">
        <v>279</v>
      </c>
      <c r="C516" s="16" t="s">
        <v>271</v>
      </c>
      <c r="D516" s="64">
        <v>600</v>
      </c>
      <c r="E516" s="120">
        <f>359922.6-875.5+30000+2515.8+1984.1+30-650-650-235.2-62.3-200-1673+11770.6+9622.5+386.9-5445.6+6442.7</f>
        <v>412883.6</v>
      </c>
      <c r="F516" s="120">
        <v>332169.09999999998</v>
      </c>
      <c r="G516" s="120">
        <v>331530.3</v>
      </c>
    </row>
    <row r="517" spans="1:7" ht="45" x14ac:dyDescent="0.25">
      <c r="A517" s="75" t="s">
        <v>283</v>
      </c>
      <c r="B517" s="16" t="s">
        <v>279</v>
      </c>
      <c r="C517" s="21" t="s">
        <v>284</v>
      </c>
      <c r="D517" s="105"/>
      <c r="E517" s="100">
        <f>E518</f>
        <v>2575.2000000000003</v>
      </c>
      <c r="F517" s="100">
        <f t="shared" ref="F517:G517" si="179">F518</f>
        <v>10327.5</v>
      </c>
      <c r="G517" s="100">
        <f t="shared" si="179"/>
        <v>10327.5</v>
      </c>
    </row>
    <row r="518" spans="1:7" ht="30" x14ac:dyDescent="0.25">
      <c r="A518" s="1" t="s">
        <v>56</v>
      </c>
      <c r="B518" s="16" t="s">
        <v>279</v>
      </c>
      <c r="C518" s="21" t="s">
        <v>284</v>
      </c>
      <c r="D518" s="63">
        <v>600</v>
      </c>
      <c r="E518" s="120">
        <f>10327.5-4579.7-1772.6-1400</f>
        <v>2575.2000000000003</v>
      </c>
      <c r="F518" s="120">
        <v>10327.5</v>
      </c>
      <c r="G518" s="120">
        <v>10327.5</v>
      </c>
    </row>
    <row r="519" spans="1:7" ht="60" x14ac:dyDescent="0.25">
      <c r="A519" s="65" t="s">
        <v>543</v>
      </c>
      <c r="B519" s="16" t="s">
        <v>279</v>
      </c>
      <c r="C519" s="86" t="s">
        <v>404</v>
      </c>
      <c r="D519" s="106"/>
      <c r="E519" s="126">
        <f>E520</f>
        <v>4273</v>
      </c>
      <c r="F519" s="126">
        <f t="shared" ref="F519:G519" si="180">F520</f>
        <v>4273</v>
      </c>
      <c r="G519" s="126">
        <f t="shared" si="180"/>
        <v>4273</v>
      </c>
    </row>
    <row r="520" spans="1:7" ht="30" x14ac:dyDescent="0.25">
      <c r="A520" s="65" t="s">
        <v>56</v>
      </c>
      <c r="B520" s="16" t="s">
        <v>279</v>
      </c>
      <c r="C520" s="86" t="s">
        <v>404</v>
      </c>
      <c r="D520" s="106">
        <v>600</v>
      </c>
      <c r="E520" s="126">
        <v>4273</v>
      </c>
      <c r="F520" s="126">
        <v>4273</v>
      </c>
      <c r="G520" s="126">
        <v>4273</v>
      </c>
    </row>
    <row r="521" spans="1:7" ht="30" x14ac:dyDescent="0.25">
      <c r="A521" s="65" t="s">
        <v>603</v>
      </c>
      <c r="B521" s="15" t="s">
        <v>279</v>
      </c>
      <c r="C521" s="16" t="s">
        <v>604</v>
      </c>
      <c r="D521" s="17"/>
      <c r="E521" s="126">
        <f>E522</f>
        <v>2827.2</v>
      </c>
      <c r="F521" s="126">
        <f t="shared" ref="F521:G521" si="181">F522</f>
        <v>0</v>
      </c>
      <c r="G521" s="126">
        <f t="shared" si="181"/>
        <v>0</v>
      </c>
    </row>
    <row r="522" spans="1:7" ht="30" x14ac:dyDescent="0.25">
      <c r="A522" s="65" t="s">
        <v>56</v>
      </c>
      <c r="B522" s="15" t="s">
        <v>279</v>
      </c>
      <c r="C522" s="16" t="s">
        <v>604</v>
      </c>
      <c r="D522" s="17">
        <v>600</v>
      </c>
      <c r="E522" s="126">
        <f>154.9+2427.6+244.7</f>
        <v>2827.2</v>
      </c>
      <c r="F522" s="126">
        <v>0</v>
      </c>
      <c r="G522" s="126">
        <v>0</v>
      </c>
    </row>
    <row r="523" spans="1:7" ht="45" x14ac:dyDescent="0.25">
      <c r="A523" s="128" t="s">
        <v>665</v>
      </c>
      <c r="B523" s="16" t="s">
        <v>279</v>
      </c>
      <c r="C523" s="76" t="s">
        <v>667</v>
      </c>
      <c r="D523" s="104"/>
      <c r="E523" s="126">
        <f>E524</f>
        <v>43786.3</v>
      </c>
      <c r="F523" s="126">
        <f t="shared" ref="F523:G523" si="182">F524</f>
        <v>128663.6</v>
      </c>
      <c r="G523" s="126">
        <f t="shared" si="182"/>
        <v>128663.6</v>
      </c>
    </row>
    <row r="524" spans="1:7" ht="30" x14ac:dyDescent="0.25">
      <c r="A524" s="128" t="s">
        <v>56</v>
      </c>
      <c r="B524" s="16" t="s">
        <v>279</v>
      </c>
      <c r="C524" s="76" t="s">
        <v>667</v>
      </c>
      <c r="D524" s="104">
        <v>600</v>
      </c>
      <c r="E524" s="126">
        <f>42887.9+898.4</f>
        <v>43786.3</v>
      </c>
      <c r="F524" s="126">
        <v>128663.6</v>
      </c>
      <c r="G524" s="126">
        <v>128663.6</v>
      </c>
    </row>
    <row r="525" spans="1:7" ht="90" x14ac:dyDescent="0.25">
      <c r="A525" s="128" t="s">
        <v>666</v>
      </c>
      <c r="B525" s="16" t="s">
        <v>279</v>
      </c>
      <c r="C525" s="76" t="s">
        <v>668</v>
      </c>
      <c r="D525" s="104"/>
      <c r="E525" s="126">
        <f>E526</f>
        <v>3386.2</v>
      </c>
      <c r="F525" s="126">
        <f t="shared" ref="F525:G525" si="183">F526</f>
        <v>8577.6</v>
      </c>
      <c r="G525" s="126">
        <f t="shared" si="183"/>
        <v>8577.6</v>
      </c>
    </row>
    <row r="526" spans="1:7" ht="30" x14ac:dyDescent="0.25">
      <c r="A526" s="128" t="s">
        <v>56</v>
      </c>
      <c r="B526" s="16" t="s">
        <v>279</v>
      </c>
      <c r="C526" s="76" t="s">
        <v>668</v>
      </c>
      <c r="D526" s="104">
        <v>600</v>
      </c>
      <c r="E526" s="126">
        <f>2859.2+59.9+467.1</f>
        <v>3386.2</v>
      </c>
      <c r="F526" s="126">
        <v>8577.6</v>
      </c>
      <c r="G526" s="126">
        <v>8577.6</v>
      </c>
    </row>
    <row r="527" spans="1:7" ht="60" x14ac:dyDescent="0.25">
      <c r="A527" s="130" t="s">
        <v>544</v>
      </c>
      <c r="B527" s="16" t="s">
        <v>279</v>
      </c>
      <c r="C527" s="76" t="s">
        <v>497</v>
      </c>
      <c r="D527" s="104"/>
      <c r="E527" s="129">
        <f>E528</f>
        <v>12829.000000000002</v>
      </c>
      <c r="F527" s="129">
        <f t="shared" ref="F527:G527" si="184">F528</f>
        <v>0</v>
      </c>
      <c r="G527" s="129">
        <f t="shared" si="184"/>
        <v>0</v>
      </c>
    </row>
    <row r="528" spans="1:7" ht="30" x14ac:dyDescent="0.25">
      <c r="A528" s="128" t="s">
        <v>56</v>
      </c>
      <c r="B528" s="16" t="s">
        <v>279</v>
      </c>
      <c r="C528" s="76" t="s">
        <v>497</v>
      </c>
      <c r="D528" s="104">
        <v>600</v>
      </c>
      <c r="E528" s="129">
        <f>50827.5-503.2-16258.9-8953.3-12622.1+339</f>
        <v>12829.000000000002</v>
      </c>
      <c r="F528" s="129">
        <f>50827.5-50827.5</f>
        <v>0</v>
      </c>
      <c r="G528" s="129">
        <f>50827.5-50827.5</f>
        <v>0</v>
      </c>
    </row>
    <row r="529" spans="1:7" ht="120" x14ac:dyDescent="0.25">
      <c r="A529" s="65" t="s">
        <v>556</v>
      </c>
      <c r="B529" s="15" t="s">
        <v>279</v>
      </c>
      <c r="C529" s="16" t="s">
        <v>378</v>
      </c>
      <c r="D529" s="16"/>
      <c r="E529" s="120">
        <f>E530</f>
        <v>888597.9</v>
      </c>
      <c r="F529" s="120">
        <f t="shared" ref="F529:G529" si="185">F530</f>
        <v>942192.3</v>
      </c>
      <c r="G529" s="120">
        <f t="shared" si="185"/>
        <v>1002421.4</v>
      </c>
    </row>
    <row r="530" spans="1:7" ht="30" x14ac:dyDescent="0.25">
      <c r="A530" s="65" t="s">
        <v>56</v>
      </c>
      <c r="B530" s="16" t="s">
        <v>279</v>
      </c>
      <c r="C530" s="16" t="s">
        <v>378</v>
      </c>
      <c r="D530" s="16" t="s">
        <v>272</v>
      </c>
      <c r="E530" s="120">
        <v>888597.9</v>
      </c>
      <c r="F530" s="120">
        <v>942192.3</v>
      </c>
      <c r="G530" s="120">
        <v>1002421.4</v>
      </c>
    </row>
    <row r="531" spans="1:7" ht="30" x14ac:dyDescent="0.25">
      <c r="A531" s="1" t="s">
        <v>285</v>
      </c>
      <c r="B531" s="16" t="s">
        <v>279</v>
      </c>
      <c r="C531" s="16" t="s">
        <v>409</v>
      </c>
      <c r="D531" s="16"/>
      <c r="E531" s="100">
        <f>E532+E534+E536</f>
        <v>103294.90000000001</v>
      </c>
      <c r="F531" s="100">
        <f t="shared" ref="F531:G531" si="186">F532+F534+F536</f>
        <v>0</v>
      </c>
      <c r="G531" s="100">
        <f t="shared" si="186"/>
        <v>0</v>
      </c>
    </row>
    <row r="532" spans="1:7" ht="30" x14ac:dyDescent="0.25">
      <c r="A532" s="107" t="s">
        <v>405</v>
      </c>
      <c r="B532" s="16" t="s">
        <v>279</v>
      </c>
      <c r="C532" s="16" t="s">
        <v>406</v>
      </c>
      <c r="D532" s="16"/>
      <c r="E532" s="100">
        <f>E533</f>
        <v>16842.2</v>
      </c>
      <c r="F532" s="100">
        <f t="shared" ref="F532:G532" si="187">F533</f>
        <v>0</v>
      </c>
      <c r="G532" s="100">
        <f t="shared" si="187"/>
        <v>0</v>
      </c>
    </row>
    <row r="533" spans="1:7" ht="30" x14ac:dyDescent="0.25">
      <c r="A533" s="65" t="s">
        <v>56</v>
      </c>
      <c r="B533" s="16" t="s">
        <v>279</v>
      </c>
      <c r="C533" s="16" t="s">
        <v>406</v>
      </c>
      <c r="D533" s="16" t="s">
        <v>272</v>
      </c>
      <c r="E533" s="120">
        <f>12900+650-4000-46.3-397.8-2.8+327.8+7411.3</f>
        <v>16842.2</v>
      </c>
      <c r="F533" s="20">
        <v>0</v>
      </c>
      <c r="G533" s="20">
        <v>0</v>
      </c>
    </row>
    <row r="534" spans="1:7" ht="30" x14ac:dyDescent="0.25">
      <c r="A534" s="149" t="s">
        <v>673</v>
      </c>
      <c r="B534" s="150" t="s">
        <v>279</v>
      </c>
      <c r="C534" s="150" t="s">
        <v>679</v>
      </c>
      <c r="D534" s="150"/>
      <c r="E534" s="151">
        <f>E535</f>
        <v>4872.8</v>
      </c>
      <c r="F534" s="151">
        <f t="shared" ref="F534:G534" si="188">F535</f>
        <v>0</v>
      </c>
      <c r="G534" s="151">
        <f t="shared" si="188"/>
        <v>0</v>
      </c>
    </row>
    <row r="535" spans="1:7" ht="30" x14ac:dyDescent="0.25">
      <c r="A535" s="142" t="s">
        <v>56</v>
      </c>
      <c r="B535" s="150" t="s">
        <v>279</v>
      </c>
      <c r="C535" s="150" t="s">
        <v>679</v>
      </c>
      <c r="D535" s="150" t="s">
        <v>272</v>
      </c>
      <c r="E535" s="151">
        <f>36.7+4836.1</f>
        <v>4872.8</v>
      </c>
      <c r="F535" s="152"/>
      <c r="G535" s="152"/>
    </row>
    <row r="536" spans="1:7" x14ac:dyDescent="0.25">
      <c r="A536" s="142" t="s">
        <v>669</v>
      </c>
      <c r="B536" s="150" t="s">
        <v>279</v>
      </c>
      <c r="C536" s="150" t="s">
        <v>670</v>
      </c>
      <c r="D536" s="150"/>
      <c r="E536" s="151">
        <f>E537</f>
        <v>81579.900000000009</v>
      </c>
      <c r="F536" s="151">
        <f t="shared" ref="F536:G536" si="189">F537</f>
        <v>0</v>
      </c>
      <c r="G536" s="151">
        <f t="shared" si="189"/>
        <v>0</v>
      </c>
    </row>
    <row r="537" spans="1:7" ht="30" x14ac:dyDescent="0.25">
      <c r="A537" s="142" t="s">
        <v>56</v>
      </c>
      <c r="B537" s="150" t="s">
        <v>279</v>
      </c>
      <c r="C537" s="150" t="s">
        <v>670</v>
      </c>
      <c r="D537" s="150" t="s">
        <v>272</v>
      </c>
      <c r="E537" s="151">
        <f>76685.1+4894.8</f>
        <v>81579.900000000009</v>
      </c>
      <c r="F537" s="152">
        <v>0</v>
      </c>
      <c r="G537" s="152">
        <v>0</v>
      </c>
    </row>
    <row r="538" spans="1:7" ht="30" x14ac:dyDescent="0.25">
      <c r="A538" s="127" t="s">
        <v>494</v>
      </c>
      <c r="B538" s="16" t="s">
        <v>279</v>
      </c>
      <c r="C538" s="108" t="s">
        <v>514</v>
      </c>
      <c r="D538" s="64"/>
      <c r="E538" s="129">
        <f t="shared" ref="E538:G539" si="190">E539</f>
        <v>500</v>
      </c>
      <c r="F538" s="129">
        <f t="shared" si="190"/>
        <v>0</v>
      </c>
      <c r="G538" s="129">
        <f t="shared" si="190"/>
        <v>0</v>
      </c>
    </row>
    <row r="539" spans="1:7" x14ac:dyDescent="0.25">
      <c r="A539" s="127" t="s">
        <v>495</v>
      </c>
      <c r="B539" s="16" t="s">
        <v>279</v>
      </c>
      <c r="C539" s="108" t="s">
        <v>515</v>
      </c>
      <c r="D539" s="64"/>
      <c r="E539" s="129">
        <f t="shared" si="190"/>
        <v>500</v>
      </c>
      <c r="F539" s="129">
        <f t="shared" si="190"/>
        <v>0</v>
      </c>
      <c r="G539" s="129">
        <f t="shared" si="190"/>
        <v>0</v>
      </c>
    </row>
    <row r="540" spans="1:7" ht="30" x14ac:dyDescent="0.25">
      <c r="A540" s="128" t="s">
        <v>56</v>
      </c>
      <c r="B540" s="16" t="s">
        <v>279</v>
      </c>
      <c r="C540" s="108" t="s">
        <v>515</v>
      </c>
      <c r="D540" s="64">
        <v>600</v>
      </c>
      <c r="E540" s="129">
        <v>500</v>
      </c>
      <c r="F540" s="129">
        <v>0</v>
      </c>
      <c r="G540" s="129">
        <v>0</v>
      </c>
    </row>
    <row r="541" spans="1:7" ht="45" x14ac:dyDescent="0.25">
      <c r="A541" s="109" t="s">
        <v>496</v>
      </c>
      <c r="B541" s="21" t="s">
        <v>279</v>
      </c>
      <c r="C541" s="21" t="s">
        <v>273</v>
      </c>
      <c r="D541" s="63"/>
      <c r="E541" s="110">
        <f>E542</f>
        <v>1989.8</v>
      </c>
      <c r="F541" s="110">
        <f>F542</f>
        <v>2063.6</v>
      </c>
      <c r="G541" s="110">
        <f t="shared" ref="G541" si="191">G542</f>
        <v>2063.6</v>
      </c>
    </row>
    <row r="542" spans="1:7" ht="30" x14ac:dyDescent="0.25">
      <c r="A542" s="131" t="s">
        <v>274</v>
      </c>
      <c r="B542" s="21" t="s">
        <v>279</v>
      </c>
      <c r="C542" s="21" t="s">
        <v>275</v>
      </c>
      <c r="D542" s="63"/>
      <c r="E542" s="110">
        <f>E546+E543</f>
        <v>1989.8</v>
      </c>
      <c r="F542" s="110">
        <f>F546+F543</f>
        <v>2063.6</v>
      </c>
      <c r="G542" s="110">
        <f>G546+G543</f>
        <v>2063.6</v>
      </c>
    </row>
    <row r="543" spans="1:7" ht="30" x14ac:dyDescent="0.25">
      <c r="A543" s="91" t="s">
        <v>286</v>
      </c>
      <c r="B543" s="21" t="s">
        <v>279</v>
      </c>
      <c r="C543" s="21" t="s">
        <v>287</v>
      </c>
      <c r="D543" s="63"/>
      <c r="E543" s="110">
        <f>E545+E544</f>
        <v>601.70000000000005</v>
      </c>
      <c r="F543" s="110">
        <f t="shared" ref="F543:G543" si="192">F545+F544</f>
        <v>325.5</v>
      </c>
      <c r="G543" s="110">
        <f t="shared" si="192"/>
        <v>325.5</v>
      </c>
    </row>
    <row r="544" spans="1:7" x14ac:dyDescent="0.25">
      <c r="A544" s="65" t="s">
        <v>29</v>
      </c>
      <c r="B544" s="86" t="s">
        <v>279</v>
      </c>
      <c r="C544" s="86" t="s">
        <v>287</v>
      </c>
      <c r="D544" s="106">
        <v>300</v>
      </c>
      <c r="E544" s="110">
        <v>5</v>
      </c>
      <c r="F544" s="110">
        <v>0</v>
      </c>
      <c r="G544" s="110">
        <v>0</v>
      </c>
    </row>
    <row r="545" spans="1:7" ht="30" x14ac:dyDescent="0.25">
      <c r="A545" s="65" t="s">
        <v>56</v>
      </c>
      <c r="B545" s="21" t="s">
        <v>279</v>
      </c>
      <c r="C545" s="21" t="s">
        <v>287</v>
      </c>
      <c r="D545" s="63">
        <v>600</v>
      </c>
      <c r="E545" s="120">
        <f>325.5+130+39.3-78.1+180</f>
        <v>596.70000000000005</v>
      </c>
      <c r="F545" s="120">
        <v>325.5</v>
      </c>
      <c r="G545" s="120">
        <v>325.5</v>
      </c>
    </row>
    <row r="546" spans="1:7" ht="30" x14ac:dyDescent="0.25">
      <c r="A546" s="90" t="s">
        <v>276</v>
      </c>
      <c r="B546" s="21" t="s">
        <v>279</v>
      </c>
      <c r="C546" s="21" t="s">
        <v>277</v>
      </c>
      <c r="D546" s="63"/>
      <c r="E546" s="110">
        <f>E547</f>
        <v>1388.1</v>
      </c>
      <c r="F546" s="110">
        <f t="shared" ref="F546:G546" si="193">F547</f>
        <v>1738.1</v>
      </c>
      <c r="G546" s="110">
        <f t="shared" si="193"/>
        <v>1738.1</v>
      </c>
    </row>
    <row r="547" spans="1:7" ht="30" x14ac:dyDescent="0.25">
      <c r="A547" s="1" t="s">
        <v>56</v>
      </c>
      <c r="B547" s="21" t="s">
        <v>279</v>
      </c>
      <c r="C547" s="21" t="s">
        <v>277</v>
      </c>
      <c r="D547" s="63">
        <v>600</v>
      </c>
      <c r="E547" s="120">
        <f>1738.1-350</f>
        <v>1388.1</v>
      </c>
      <c r="F547" s="120">
        <v>1738.1</v>
      </c>
      <c r="G547" s="120">
        <v>1738.1</v>
      </c>
    </row>
    <row r="548" spans="1:7" x14ac:dyDescent="0.25">
      <c r="A548" s="9" t="s">
        <v>288</v>
      </c>
      <c r="B548" s="111" t="s">
        <v>289</v>
      </c>
      <c r="C548" s="111"/>
      <c r="D548" s="112"/>
      <c r="E548" s="54">
        <f>SUM(E554+E580)+E549</f>
        <v>341162.2</v>
      </c>
      <c r="F548" s="54">
        <f t="shared" ref="F548:G548" si="194">SUM(F554+F580)+F549</f>
        <v>340957.2</v>
      </c>
      <c r="G548" s="54">
        <f t="shared" si="194"/>
        <v>316506.3</v>
      </c>
    </row>
    <row r="549" spans="1:7" x14ac:dyDescent="0.25">
      <c r="A549" s="65" t="s">
        <v>10</v>
      </c>
      <c r="B549" s="86" t="s">
        <v>289</v>
      </c>
      <c r="C549" s="16" t="s">
        <v>11</v>
      </c>
      <c r="D549" s="17"/>
      <c r="E549" s="20">
        <f>E550+E552</f>
        <v>4150</v>
      </c>
      <c r="F549" s="20">
        <f t="shared" ref="F549:G549" si="195">F550+F552</f>
        <v>0</v>
      </c>
      <c r="G549" s="20">
        <f t="shared" si="195"/>
        <v>0</v>
      </c>
    </row>
    <row r="550" spans="1:7" ht="30" x14ac:dyDescent="0.25">
      <c r="A550" s="65" t="s">
        <v>606</v>
      </c>
      <c r="B550" s="86" t="s">
        <v>289</v>
      </c>
      <c r="C550" s="16" t="s">
        <v>607</v>
      </c>
      <c r="D550" s="17"/>
      <c r="E550" s="20">
        <f>E551</f>
        <v>4096.1000000000004</v>
      </c>
      <c r="F550" s="20">
        <f t="shared" ref="F550:G550" si="196">F551</f>
        <v>0</v>
      </c>
      <c r="G550" s="20">
        <f t="shared" si="196"/>
        <v>0</v>
      </c>
    </row>
    <row r="551" spans="1:7" ht="30" x14ac:dyDescent="0.25">
      <c r="A551" s="65" t="s">
        <v>56</v>
      </c>
      <c r="B551" s="86" t="s">
        <v>289</v>
      </c>
      <c r="C551" s="16" t="s">
        <v>607</v>
      </c>
      <c r="D551" s="17">
        <v>600</v>
      </c>
      <c r="E551" s="20">
        <v>4096.1000000000004</v>
      </c>
      <c r="F551" s="20">
        <v>0</v>
      </c>
      <c r="G551" s="20">
        <v>0</v>
      </c>
    </row>
    <row r="552" spans="1:7" s="155" customFormat="1" x14ac:dyDescent="0.25">
      <c r="A552" s="65" t="s">
        <v>208</v>
      </c>
      <c r="B552" s="15" t="s">
        <v>289</v>
      </c>
      <c r="C552" s="144" t="s">
        <v>209</v>
      </c>
      <c r="D552" s="17"/>
      <c r="E552" s="20">
        <f>E553</f>
        <v>53.9</v>
      </c>
      <c r="F552" s="20">
        <f t="shared" ref="F552:G552" si="197">F553</f>
        <v>0</v>
      </c>
      <c r="G552" s="20">
        <f t="shared" si="197"/>
        <v>0</v>
      </c>
    </row>
    <row r="553" spans="1:7" s="155" customFormat="1" ht="30" x14ac:dyDescent="0.25">
      <c r="A553" s="65" t="s">
        <v>56</v>
      </c>
      <c r="B553" s="15" t="s">
        <v>289</v>
      </c>
      <c r="C553" s="144" t="s">
        <v>209</v>
      </c>
      <c r="D553" s="17">
        <v>600</v>
      </c>
      <c r="E553" s="20">
        <v>53.9</v>
      </c>
      <c r="F553" s="20">
        <v>0</v>
      </c>
      <c r="G553" s="20">
        <v>0</v>
      </c>
    </row>
    <row r="554" spans="1:7" ht="27.75" customHeight="1" x14ac:dyDescent="0.25">
      <c r="A554" s="65" t="s">
        <v>491</v>
      </c>
      <c r="B554" s="15" t="s">
        <v>289</v>
      </c>
      <c r="C554" s="16" t="s">
        <v>266</v>
      </c>
      <c r="D554" s="104"/>
      <c r="E554" s="20">
        <f>SUM(E555+E574)</f>
        <v>239419.1</v>
      </c>
      <c r="F554" s="20">
        <f>SUM(F555+F574)</f>
        <v>216843.4</v>
      </c>
      <c r="G554" s="20">
        <f>SUM(G555+G574)</f>
        <v>218897.5</v>
      </c>
    </row>
    <row r="555" spans="1:7" ht="30" x14ac:dyDescent="0.25">
      <c r="A555" s="60" t="s">
        <v>267</v>
      </c>
      <c r="B555" s="15" t="s">
        <v>289</v>
      </c>
      <c r="C555" s="16" t="s">
        <v>268</v>
      </c>
      <c r="D555" s="104"/>
      <c r="E555" s="20">
        <f>SUM(E556)+E564+E571</f>
        <v>239239.9</v>
      </c>
      <c r="F555" s="20">
        <f t="shared" ref="F555:G555" si="198">SUM(F556)+F564+F571</f>
        <v>216807.4</v>
      </c>
      <c r="G555" s="20">
        <f t="shared" si="198"/>
        <v>218861.5</v>
      </c>
    </row>
    <row r="556" spans="1:7" ht="45" x14ac:dyDescent="0.25">
      <c r="A556" s="61" t="s">
        <v>269</v>
      </c>
      <c r="B556" s="15" t="s">
        <v>289</v>
      </c>
      <c r="C556" s="16" t="s">
        <v>270</v>
      </c>
      <c r="D556" s="104"/>
      <c r="E556" s="20">
        <f>SUM(E557)+E559+E562</f>
        <v>229663.4</v>
      </c>
      <c r="F556" s="20">
        <f t="shared" ref="F556:G556" si="199">SUM(F557)+F559+F562</f>
        <v>216807.4</v>
      </c>
      <c r="G556" s="20">
        <f t="shared" si="199"/>
        <v>218861.5</v>
      </c>
    </row>
    <row r="557" spans="1:7" ht="30" x14ac:dyDescent="0.25">
      <c r="A557" s="61" t="s">
        <v>51</v>
      </c>
      <c r="B557" s="15" t="s">
        <v>289</v>
      </c>
      <c r="C557" s="16" t="s">
        <v>271</v>
      </c>
      <c r="D557" s="17"/>
      <c r="E557" s="20">
        <f>E558</f>
        <v>217367.19999999998</v>
      </c>
      <c r="F557" s="20">
        <f t="shared" ref="F557:G557" si="200">F558</f>
        <v>216807.4</v>
      </c>
      <c r="G557" s="20">
        <f t="shared" si="200"/>
        <v>218861.5</v>
      </c>
    </row>
    <row r="558" spans="1:7" ht="30" x14ac:dyDescent="0.25">
      <c r="A558" s="1" t="s">
        <v>56</v>
      </c>
      <c r="B558" s="15" t="s">
        <v>289</v>
      </c>
      <c r="C558" s="16" t="s">
        <v>271</v>
      </c>
      <c r="D558" s="64">
        <v>600</v>
      </c>
      <c r="E558" s="120">
        <f>212191+2500+400+235.2+62.3-18936.2+2099.4+17856.6+958.9</f>
        <v>217367.19999999998</v>
      </c>
      <c r="F558" s="120">
        <v>216807.4</v>
      </c>
      <c r="G558" s="120">
        <v>218861.5</v>
      </c>
    </row>
    <row r="559" spans="1:7" ht="30" x14ac:dyDescent="0.25">
      <c r="A559" s="65" t="s">
        <v>675</v>
      </c>
      <c r="B559" s="15" t="s">
        <v>289</v>
      </c>
      <c r="C559" s="16" t="s">
        <v>680</v>
      </c>
      <c r="D559" s="64"/>
      <c r="E559" s="120">
        <f>E560+E561</f>
        <v>10342</v>
      </c>
      <c r="F559" s="120">
        <f t="shared" ref="F559:G559" si="201">F560+F561</f>
        <v>0</v>
      </c>
      <c r="G559" s="120">
        <f t="shared" si="201"/>
        <v>0</v>
      </c>
    </row>
    <row r="560" spans="1:7" ht="30" x14ac:dyDescent="0.25">
      <c r="A560" s="65" t="s">
        <v>56</v>
      </c>
      <c r="B560" s="15" t="s">
        <v>289</v>
      </c>
      <c r="C560" s="16" t="s">
        <v>680</v>
      </c>
      <c r="D560" s="64">
        <v>600</v>
      </c>
      <c r="E560" s="120">
        <f>23492.3-13600+299.7</f>
        <v>10192</v>
      </c>
      <c r="F560" s="120">
        <v>0</v>
      </c>
      <c r="G560" s="120">
        <v>0</v>
      </c>
    </row>
    <row r="561" spans="1:7" x14ac:dyDescent="0.25">
      <c r="A561" s="114" t="s">
        <v>22</v>
      </c>
      <c r="B561" s="15" t="s">
        <v>289</v>
      </c>
      <c r="C561" s="16" t="s">
        <v>680</v>
      </c>
      <c r="D561" s="64">
        <v>800</v>
      </c>
      <c r="E561" s="120">
        <f>200-50</f>
        <v>150</v>
      </c>
      <c r="F561" s="120">
        <v>0</v>
      </c>
      <c r="G561" s="120">
        <v>0</v>
      </c>
    </row>
    <row r="562" spans="1:7" ht="75" x14ac:dyDescent="0.25">
      <c r="A562" s="65" t="s">
        <v>709</v>
      </c>
      <c r="B562" s="15" t="s">
        <v>289</v>
      </c>
      <c r="C562" s="144" t="s">
        <v>710</v>
      </c>
      <c r="D562" s="64"/>
      <c r="E562" s="120">
        <f>E563</f>
        <v>1954.2</v>
      </c>
      <c r="F562" s="120">
        <f t="shared" ref="F562:G562" si="202">F563</f>
        <v>0</v>
      </c>
      <c r="G562" s="120">
        <f t="shared" si="202"/>
        <v>0</v>
      </c>
    </row>
    <row r="563" spans="1:7" ht="30" x14ac:dyDescent="0.25">
      <c r="A563" s="65" t="s">
        <v>56</v>
      </c>
      <c r="B563" s="15" t="s">
        <v>289</v>
      </c>
      <c r="C563" s="144" t="s">
        <v>710</v>
      </c>
      <c r="D563" s="64">
        <v>600</v>
      </c>
      <c r="E563" s="120">
        <v>1954.2</v>
      </c>
      <c r="F563" s="120">
        <v>0</v>
      </c>
      <c r="G563" s="120">
        <v>0</v>
      </c>
    </row>
    <row r="564" spans="1:7" ht="30" x14ac:dyDescent="0.25">
      <c r="A564" s="65" t="s">
        <v>285</v>
      </c>
      <c r="B564" s="15" t="s">
        <v>289</v>
      </c>
      <c r="C564" s="16" t="s">
        <v>409</v>
      </c>
      <c r="D564" s="16"/>
      <c r="E564" s="20">
        <f>E565+E569+E567</f>
        <v>9076.5</v>
      </c>
      <c r="F564" s="20">
        <f t="shared" ref="F564:G564" si="203">F565+F569</f>
        <v>0</v>
      </c>
      <c r="G564" s="20">
        <f t="shared" si="203"/>
        <v>0</v>
      </c>
    </row>
    <row r="565" spans="1:7" ht="30" x14ac:dyDescent="0.25">
      <c r="A565" s="77" t="s">
        <v>405</v>
      </c>
      <c r="B565" s="15" t="s">
        <v>289</v>
      </c>
      <c r="C565" s="16" t="s">
        <v>406</v>
      </c>
      <c r="D565" s="16"/>
      <c r="E565" s="20">
        <f>E566</f>
        <v>8154.2</v>
      </c>
      <c r="F565" s="20">
        <f t="shared" ref="F565:G565" si="204">F566</f>
        <v>0</v>
      </c>
      <c r="G565" s="20">
        <f t="shared" si="204"/>
        <v>0</v>
      </c>
    </row>
    <row r="566" spans="1:7" ht="30" x14ac:dyDescent="0.25">
      <c r="A566" s="65" t="s">
        <v>56</v>
      </c>
      <c r="B566" s="15" t="s">
        <v>289</v>
      </c>
      <c r="C566" s="16" t="s">
        <v>406</v>
      </c>
      <c r="D566" s="16" t="s">
        <v>272</v>
      </c>
      <c r="E566" s="126">
        <f>5720+1630.2-2.8+806.8</f>
        <v>8154.2</v>
      </c>
      <c r="F566" s="20">
        <v>0</v>
      </c>
      <c r="G566" s="20">
        <v>0</v>
      </c>
    </row>
    <row r="567" spans="1:7" ht="30" x14ac:dyDescent="0.25">
      <c r="A567" s="88" t="s">
        <v>673</v>
      </c>
      <c r="B567" s="15" t="s">
        <v>289</v>
      </c>
      <c r="C567" s="16" t="s">
        <v>679</v>
      </c>
      <c r="D567" s="16"/>
      <c r="E567" s="126">
        <f>SUM(E568)</f>
        <v>922.3</v>
      </c>
      <c r="F567" s="20"/>
      <c r="G567" s="20"/>
    </row>
    <row r="568" spans="1:7" ht="30" x14ac:dyDescent="0.25">
      <c r="A568" s="65" t="s">
        <v>56</v>
      </c>
      <c r="B568" s="15" t="s">
        <v>289</v>
      </c>
      <c r="C568" s="16" t="s">
        <v>679</v>
      </c>
      <c r="D568" s="16" t="s">
        <v>272</v>
      </c>
      <c r="E568" s="126">
        <v>922.3</v>
      </c>
      <c r="F568" s="20"/>
      <c r="G568" s="20"/>
    </row>
    <row r="569" spans="1:7" ht="15.75" x14ac:dyDescent="0.25">
      <c r="A569" s="145" t="s">
        <v>622</v>
      </c>
      <c r="B569" s="15" t="s">
        <v>289</v>
      </c>
      <c r="C569" s="16" t="s">
        <v>605</v>
      </c>
      <c r="D569" s="16"/>
      <c r="E569" s="120">
        <f>E570</f>
        <v>0</v>
      </c>
      <c r="F569" s="120">
        <f>F570</f>
        <v>0</v>
      </c>
      <c r="G569" s="120">
        <f>G570</f>
        <v>0</v>
      </c>
    </row>
    <row r="570" spans="1:7" ht="30" x14ac:dyDescent="0.25">
      <c r="A570" s="65" t="s">
        <v>56</v>
      </c>
      <c r="B570" s="15" t="s">
        <v>289</v>
      </c>
      <c r="C570" s="16" t="s">
        <v>605</v>
      </c>
      <c r="D570" s="16" t="s">
        <v>272</v>
      </c>
      <c r="E570" s="120">
        <f>3150+52500-52500-3150</f>
        <v>0</v>
      </c>
      <c r="F570" s="20">
        <v>0</v>
      </c>
      <c r="G570" s="20">
        <v>0</v>
      </c>
    </row>
    <row r="571" spans="1:7" ht="30" x14ac:dyDescent="0.25">
      <c r="A571" s="127" t="s">
        <v>494</v>
      </c>
      <c r="B571" s="16" t="s">
        <v>289</v>
      </c>
      <c r="C571" s="108" t="s">
        <v>514</v>
      </c>
      <c r="D571" s="64"/>
      <c r="E571" s="129">
        <f t="shared" ref="E571:G572" si="205">E572</f>
        <v>500</v>
      </c>
      <c r="F571" s="129">
        <f t="shared" si="205"/>
        <v>0</v>
      </c>
      <c r="G571" s="129">
        <f t="shared" si="205"/>
        <v>0</v>
      </c>
    </row>
    <row r="572" spans="1:7" x14ac:dyDescent="0.25">
      <c r="A572" s="127" t="s">
        <v>495</v>
      </c>
      <c r="B572" s="16" t="s">
        <v>289</v>
      </c>
      <c r="C572" s="108" t="s">
        <v>515</v>
      </c>
      <c r="D572" s="64"/>
      <c r="E572" s="129">
        <f t="shared" si="205"/>
        <v>500</v>
      </c>
      <c r="F572" s="129">
        <f t="shared" si="205"/>
        <v>0</v>
      </c>
      <c r="G572" s="129">
        <f t="shared" si="205"/>
        <v>0</v>
      </c>
    </row>
    <row r="573" spans="1:7" ht="30" x14ac:dyDescent="0.25">
      <c r="A573" s="128" t="s">
        <v>56</v>
      </c>
      <c r="B573" s="16" t="s">
        <v>289</v>
      </c>
      <c r="C573" s="108" t="s">
        <v>515</v>
      </c>
      <c r="D573" s="64">
        <v>600</v>
      </c>
      <c r="E573" s="129">
        <v>500</v>
      </c>
      <c r="F573" s="129">
        <v>0</v>
      </c>
      <c r="G573" s="129">
        <v>0</v>
      </c>
    </row>
    <row r="574" spans="1:7" ht="45" x14ac:dyDescent="0.25">
      <c r="A574" s="109" t="s">
        <v>496</v>
      </c>
      <c r="B574" s="15" t="s">
        <v>289</v>
      </c>
      <c r="C574" s="76" t="s">
        <v>273</v>
      </c>
      <c r="D574" s="104"/>
      <c r="E574" s="20">
        <f>E575</f>
        <v>179.2</v>
      </c>
      <c r="F574" s="20">
        <f t="shared" ref="F574:G574" si="206">F575</f>
        <v>36</v>
      </c>
      <c r="G574" s="20">
        <f t="shared" si="206"/>
        <v>36</v>
      </c>
    </row>
    <row r="575" spans="1:7" ht="30" x14ac:dyDescent="0.25">
      <c r="A575" s="113" t="s">
        <v>274</v>
      </c>
      <c r="B575" s="15" t="s">
        <v>289</v>
      </c>
      <c r="C575" s="76" t="s">
        <v>275</v>
      </c>
      <c r="D575" s="104"/>
      <c r="E575" s="20">
        <f>E578+E576</f>
        <v>179.2</v>
      </c>
      <c r="F575" s="20">
        <f t="shared" ref="F575:G575" si="207">F578+F576</f>
        <v>36</v>
      </c>
      <c r="G575" s="20">
        <f t="shared" si="207"/>
        <v>36</v>
      </c>
    </row>
    <row r="576" spans="1:7" ht="30" x14ac:dyDescent="0.25">
      <c r="A576" s="91" t="s">
        <v>286</v>
      </c>
      <c r="B576" s="86" t="s">
        <v>289</v>
      </c>
      <c r="C576" s="86" t="s">
        <v>287</v>
      </c>
      <c r="D576" s="106"/>
      <c r="E576" s="20">
        <f>E577</f>
        <v>143.19999999999999</v>
      </c>
      <c r="F576" s="20">
        <f t="shared" ref="F576:G576" si="208">F577</f>
        <v>0</v>
      </c>
      <c r="G576" s="20">
        <f t="shared" si="208"/>
        <v>0</v>
      </c>
    </row>
    <row r="577" spans="1:7" ht="30" x14ac:dyDescent="0.25">
      <c r="A577" s="65" t="s">
        <v>56</v>
      </c>
      <c r="B577" s="86" t="s">
        <v>289</v>
      </c>
      <c r="C577" s="86" t="s">
        <v>287</v>
      </c>
      <c r="D577" s="106">
        <v>600</v>
      </c>
      <c r="E577" s="20">
        <f>50+15.1+78.1</f>
        <v>143.19999999999999</v>
      </c>
      <c r="F577" s="20">
        <v>0</v>
      </c>
      <c r="G577" s="20">
        <v>0</v>
      </c>
    </row>
    <row r="578" spans="1:7" ht="30" x14ac:dyDescent="0.25">
      <c r="A578" s="75" t="s">
        <v>276</v>
      </c>
      <c r="B578" s="15" t="s">
        <v>289</v>
      </c>
      <c r="C578" s="76" t="s">
        <v>277</v>
      </c>
      <c r="D578" s="104"/>
      <c r="E578" s="20">
        <f>E579</f>
        <v>36</v>
      </c>
      <c r="F578" s="20">
        <f t="shared" ref="F578:G578" si="209">F579</f>
        <v>36</v>
      </c>
      <c r="G578" s="20">
        <f t="shared" si="209"/>
        <v>36</v>
      </c>
    </row>
    <row r="579" spans="1:7" ht="30" x14ac:dyDescent="0.25">
      <c r="A579" s="1" t="s">
        <v>56</v>
      </c>
      <c r="B579" s="15" t="s">
        <v>289</v>
      </c>
      <c r="C579" s="76" t="s">
        <v>277</v>
      </c>
      <c r="D579" s="104">
        <v>600</v>
      </c>
      <c r="E579" s="126">
        <v>36</v>
      </c>
      <c r="F579" s="126">
        <v>36</v>
      </c>
      <c r="G579" s="20">
        <v>36</v>
      </c>
    </row>
    <row r="580" spans="1:7" ht="30" x14ac:dyDescent="0.25">
      <c r="A580" s="114" t="s">
        <v>430</v>
      </c>
      <c r="B580" s="15" t="s">
        <v>289</v>
      </c>
      <c r="C580" s="115" t="s">
        <v>312</v>
      </c>
      <c r="D580" s="16"/>
      <c r="E580" s="20">
        <f>SUM(E581)</f>
        <v>97593.099999999991</v>
      </c>
      <c r="F580" s="20">
        <f t="shared" ref="F580:G580" si="210">SUM(F581)</f>
        <v>124113.8</v>
      </c>
      <c r="G580" s="20">
        <f t="shared" si="210"/>
        <v>97608.8</v>
      </c>
    </row>
    <row r="581" spans="1:7" x14ac:dyDescent="0.25">
      <c r="A581" s="1" t="s">
        <v>313</v>
      </c>
      <c r="B581" s="15" t="s">
        <v>289</v>
      </c>
      <c r="C581" s="16" t="s">
        <v>314</v>
      </c>
      <c r="D581" s="16"/>
      <c r="E581" s="20">
        <f>E582+E591</f>
        <v>97593.099999999991</v>
      </c>
      <c r="F581" s="20">
        <f t="shared" ref="F581:G581" si="211">F582+F591</f>
        <v>124113.8</v>
      </c>
      <c r="G581" s="20">
        <f t="shared" si="211"/>
        <v>97608.8</v>
      </c>
    </row>
    <row r="582" spans="1:7" ht="30" x14ac:dyDescent="0.25">
      <c r="A582" s="1" t="s">
        <v>315</v>
      </c>
      <c r="B582" s="15" t="s">
        <v>289</v>
      </c>
      <c r="C582" s="76" t="s">
        <v>316</v>
      </c>
      <c r="D582" s="16"/>
      <c r="E582" s="20">
        <f>E585+E583+E587+E589</f>
        <v>95493.099999999991</v>
      </c>
      <c r="F582" s="20">
        <f t="shared" ref="F582:G582" si="212">F585+F583+F587</f>
        <v>124113.8</v>
      </c>
      <c r="G582" s="20">
        <f t="shared" si="212"/>
        <v>97608.8</v>
      </c>
    </row>
    <row r="583" spans="1:7" ht="30" x14ac:dyDescent="0.25">
      <c r="A583" s="65" t="s">
        <v>614</v>
      </c>
      <c r="B583" s="15" t="s">
        <v>289</v>
      </c>
      <c r="C583" s="16" t="s">
        <v>615</v>
      </c>
      <c r="D583" s="16"/>
      <c r="E583" s="20">
        <f>E584</f>
        <v>0</v>
      </c>
      <c r="F583" s="20">
        <f t="shared" ref="F583:G583" si="213">F584</f>
        <v>30000</v>
      </c>
      <c r="G583" s="20">
        <f t="shared" si="213"/>
        <v>0</v>
      </c>
    </row>
    <row r="584" spans="1:7" ht="30" x14ac:dyDescent="0.25">
      <c r="A584" s="65" t="s">
        <v>56</v>
      </c>
      <c r="B584" s="15" t="s">
        <v>289</v>
      </c>
      <c r="C584" s="16" t="s">
        <v>615</v>
      </c>
      <c r="D584" s="16" t="s">
        <v>272</v>
      </c>
      <c r="E584" s="20">
        <v>0</v>
      </c>
      <c r="F584" s="20">
        <v>30000</v>
      </c>
      <c r="G584" s="20">
        <v>0</v>
      </c>
    </row>
    <row r="585" spans="1:7" ht="30" x14ac:dyDescent="0.25">
      <c r="A585" s="60" t="s">
        <v>51</v>
      </c>
      <c r="B585" s="15" t="s">
        <v>289</v>
      </c>
      <c r="C585" s="16" t="s">
        <v>317</v>
      </c>
      <c r="D585" s="16"/>
      <c r="E585" s="20">
        <f>E586</f>
        <v>94594.099999999991</v>
      </c>
      <c r="F585" s="20">
        <f t="shared" ref="F585:G585" si="214">F586</f>
        <v>94113.8</v>
      </c>
      <c r="G585" s="20">
        <f t="shared" si="214"/>
        <v>97608.8</v>
      </c>
    </row>
    <row r="586" spans="1:7" ht="30" x14ac:dyDescent="0.25">
      <c r="A586" s="1" t="s">
        <v>56</v>
      </c>
      <c r="B586" s="15" t="s">
        <v>289</v>
      </c>
      <c r="C586" s="16" t="s">
        <v>317</v>
      </c>
      <c r="D586" s="16" t="s">
        <v>272</v>
      </c>
      <c r="E586" s="120">
        <f>92289.9+2694.8+2400.7-1225+193.8-1760-0.1</f>
        <v>94594.099999999991</v>
      </c>
      <c r="F586" s="120">
        <v>94113.8</v>
      </c>
      <c r="G586" s="120">
        <v>97608.8</v>
      </c>
    </row>
    <row r="587" spans="1:7" ht="30" x14ac:dyDescent="0.25">
      <c r="A587" s="65" t="s">
        <v>675</v>
      </c>
      <c r="B587" s="15" t="s">
        <v>289</v>
      </c>
      <c r="C587" s="16" t="s">
        <v>676</v>
      </c>
      <c r="D587" s="16"/>
      <c r="E587" s="120">
        <f>E588</f>
        <v>0</v>
      </c>
      <c r="F587" s="120">
        <f t="shared" ref="F587:G587" si="215">F588</f>
        <v>0</v>
      </c>
      <c r="G587" s="120">
        <f t="shared" si="215"/>
        <v>0</v>
      </c>
    </row>
    <row r="588" spans="1:7" ht="30" x14ac:dyDescent="0.25">
      <c r="A588" s="65" t="s">
        <v>56</v>
      </c>
      <c r="B588" s="15" t="s">
        <v>289</v>
      </c>
      <c r="C588" s="16" t="s">
        <v>676</v>
      </c>
      <c r="D588" s="16" t="s">
        <v>272</v>
      </c>
      <c r="E588" s="120">
        <f>299.7-299.7</f>
        <v>0</v>
      </c>
      <c r="F588" s="120"/>
      <c r="G588" s="120"/>
    </row>
    <row r="589" spans="1:7" ht="30" x14ac:dyDescent="0.25">
      <c r="A589" s="88" t="s">
        <v>673</v>
      </c>
      <c r="B589" s="15" t="s">
        <v>289</v>
      </c>
      <c r="C589" s="16" t="s">
        <v>677</v>
      </c>
      <c r="D589" s="16"/>
      <c r="E589" s="120">
        <f>E590</f>
        <v>899</v>
      </c>
      <c r="F589" s="120">
        <f t="shared" ref="F589:G589" si="216">F590</f>
        <v>0</v>
      </c>
      <c r="G589" s="120">
        <f t="shared" si="216"/>
        <v>0</v>
      </c>
    </row>
    <row r="590" spans="1:7" ht="30" x14ac:dyDescent="0.25">
      <c r="A590" s="65" t="s">
        <v>56</v>
      </c>
      <c r="B590" s="15" t="s">
        <v>289</v>
      </c>
      <c r="C590" s="16" t="s">
        <v>677</v>
      </c>
      <c r="D590" s="16" t="s">
        <v>272</v>
      </c>
      <c r="E590" s="120">
        <f>656.9+242+0.1</f>
        <v>899</v>
      </c>
      <c r="F590" s="120"/>
      <c r="G590" s="120"/>
    </row>
    <row r="591" spans="1:7" s="155" customFormat="1" ht="30" x14ac:dyDescent="0.25">
      <c r="A591" s="65" t="s">
        <v>721</v>
      </c>
      <c r="B591" s="15" t="s">
        <v>289</v>
      </c>
      <c r="C591" s="144" t="s">
        <v>723</v>
      </c>
      <c r="D591" s="16"/>
      <c r="E591" s="120">
        <f>E592</f>
        <v>2100</v>
      </c>
      <c r="F591" s="120">
        <f t="shared" ref="F591:G592" si="217">F592</f>
        <v>0</v>
      </c>
      <c r="G591" s="120">
        <f t="shared" si="217"/>
        <v>0</v>
      </c>
    </row>
    <row r="592" spans="1:7" s="155" customFormat="1" ht="30" x14ac:dyDescent="0.25">
      <c r="A592" s="65" t="s">
        <v>722</v>
      </c>
      <c r="B592" s="15" t="s">
        <v>289</v>
      </c>
      <c r="C592" s="144" t="s">
        <v>724</v>
      </c>
      <c r="D592" s="16"/>
      <c r="E592" s="120">
        <f>E593</f>
        <v>2100</v>
      </c>
      <c r="F592" s="120">
        <f t="shared" si="217"/>
        <v>0</v>
      </c>
      <c r="G592" s="120">
        <f t="shared" si="217"/>
        <v>0</v>
      </c>
    </row>
    <row r="593" spans="1:7" s="155" customFormat="1" ht="30" x14ac:dyDescent="0.25">
      <c r="A593" s="65" t="s">
        <v>705</v>
      </c>
      <c r="B593" s="15" t="s">
        <v>289</v>
      </c>
      <c r="C593" s="144" t="s">
        <v>724</v>
      </c>
      <c r="D593" s="16" t="s">
        <v>374</v>
      </c>
      <c r="E593" s="120">
        <v>2100</v>
      </c>
      <c r="F593" s="120"/>
      <c r="G593" s="120"/>
    </row>
    <row r="594" spans="1:7" x14ac:dyDescent="0.25">
      <c r="A594" s="9" t="s">
        <v>380</v>
      </c>
      <c r="B594" s="10" t="s">
        <v>149</v>
      </c>
      <c r="C594" s="14"/>
      <c r="D594" s="10"/>
      <c r="E594" s="12">
        <f>E595+E605</f>
        <v>20987.499999999996</v>
      </c>
      <c r="F594" s="12">
        <f>F595+F605</f>
        <v>28768.7</v>
      </c>
      <c r="G594" s="12">
        <f t="shared" ref="G594" si="218">G595+G605</f>
        <v>29238.9</v>
      </c>
    </row>
    <row r="595" spans="1:7" ht="30" x14ac:dyDescent="0.25">
      <c r="A595" s="65" t="s">
        <v>498</v>
      </c>
      <c r="B595" s="15" t="s">
        <v>149</v>
      </c>
      <c r="C595" s="16" t="s">
        <v>150</v>
      </c>
      <c r="D595" s="15"/>
      <c r="E595" s="20">
        <f>SUM(E596+E602)</f>
        <v>19658.699999999997</v>
      </c>
      <c r="F595" s="20">
        <f t="shared" ref="F595:G595" si="219">SUM(F596+F602)</f>
        <v>14751.3</v>
      </c>
      <c r="G595" s="20">
        <f t="shared" si="219"/>
        <v>15221.5</v>
      </c>
    </row>
    <row r="596" spans="1:7" ht="30" x14ac:dyDescent="0.25">
      <c r="A596" s="1" t="s">
        <v>151</v>
      </c>
      <c r="B596" s="15" t="s">
        <v>149</v>
      </c>
      <c r="C596" s="16" t="s">
        <v>152</v>
      </c>
      <c r="D596" s="17"/>
      <c r="E596" s="20">
        <f>SUM(E597+E599)</f>
        <v>2133.1000000000004</v>
      </c>
      <c r="F596" s="20">
        <f>SUM(F597+F599)</f>
        <v>1520.9</v>
      </c>
      <c r="G596" s="20">
        <f>SUM(G597+G599)</f>
        <v>1520.9</v>
      </c>
    </row>
    <row r="597" spans="1:7" x14ac:dyDescent="0.25">
      <c r="A597" s="1" t="s">
        <v>379</v>
      </c>
      <c r="B597" s="15" t="s">
        <v>149</v>
      </c>
      <c r="C597" s="16" t="s">
        <v>153</v>
      </c>
      <c r="D597" s="17"/>
      <c r="E597" s="20">
        <f>E598</f>
        <v>1437.1000000000001</v>
      </c>
      <c r="F597" s="20">
        <f t="shared" ref="F597:G597" si="220">F598</f>
        <v>1320.9</v>
      </c>
      <c r="G597" s="20">
        <f t="shared" si="220"/>
        <v>1320.9</v>
      </c>
    </row>
    <row r="598" spans="1:7" ht="30" x14ac:dyDescent="0.25">
      <c r="A598" s="1" t="s">
        <v>21</v>
      </c>
      <c r="B598" s="15" t="s">
        <v>149</v>
      </c>
      <c r="C598" s="16" t="s">
        <v>153</v>
      </c>
      <c r="D598" s="17">
        <v>200</v>
      </c>
      <c r="E598" s="120">
        <f>1539.9-60.7+38-15.1-65</f>
        <v>1437.1000000000001</v>
      </c>
      <c r="F598" s="120">
        <v>1320.9</v>
      </c>
      <c r="G598" s="120">
        <v>1320.9</v>
      </c>
    </row>
    <row r="599" spans="1:7" x14ac:dyDescent="0.25">
      <c r="A599" s="84" t="s">
        <v>154</v>
      </c>
      <c r="B599" s="15" t="s">
        <v>149</v>
      </c>
      <c r="C599" s="16" t="s">
        <v>155</v>
      </c>
      <c r="D599" s="17"/>
      <c r="E599" s="20">
        <f>E600+E601</f>
        <v>696</v>
      </c>
      <c r="F599" s="20">
        <f t="shared" ref="F599:G599" si="221">F600+F601</f>
        <v>200</v>
      </c>
      <c r="G599" s="20">
        <f t="shared" si="221"/>
        <v>200</v>
      </c>
    </row>
    <row r="600" spans="1:7" x14ac:dyDescent="0.25">
      <c r="A600" s="1" t="s">
        <v>29</v>
      </c>
      <c r="B600" s="15" t="s">
        <v>149</v>
      </c>
      <c r="C600" s="16" t="s">
        <v>155</v>
      </c>
      <c r="D600" s="17">
        <v>300</v>
      </c>
      <c r="E600" s="120">
        <f>100+60.7+170.3+65</f>
        <v>396</v>
      </c>
      <c r="F600" s="120">
        <v>100</v>
      </c>
      <c r="G600" s="120">
        <v>100</v>
      </c>
    </row>
    <row r="601" spans="1:7" ht="30" x14ac:dyDescent="0.25">
      <c r="A601" s="65" t="s">
        <v>56</v>
      </c>
      <c r="B601" s="15" t="s">
        <v>149</v>
      </c>
      <c r="C601" s="16" t="s">
        <v>155</v>
      </c>
      <c r="D601" s="17">
        <v>600</v>
      </c>
      <c r="E601" s="120">
        <f>100+200</f>
        <v>300</v>
      </c>
      <c r="F601" s="120">
        <v>100</v>
      </c>
      <c r="G601" s="120">
        <v>100</v>
      </c>
    </row>
    <row r="602" spans="1:7" ht="30" x14ac:dyDescent="0.25">
      <c r="A602" s="1" t="s">
        <v>156</v>
      </c>
      <c r="B602" s="15" t="s">
        <v>149</v>
      </c>
      <c r="C602" s="16" t="s">
        <v>157</v>
      </c>
      <c r="D602" s="17"/>
      <c r="E602" s="20">
        <f>E603</f>
        <v>17525.599999999999</v>
      </c>
      <c r="F602" s="20">
        <f t="shared" ref="F602:G603" si="222">F603</f>
        <v>13230.4</v>
      </c>
      <c r="G602" s="20">
        <f t="shared" si="222"/>
        <v>13700.6</v>
      </c>
    </row>
    <row r="603" spans="1:7" ht="30" x14ac:dyDescent="0.25">
      <c r="A603" s="1" t="s">
        <v>55</v>
      </c>
      <c r="B603" s="15" t="s">
        <v>149</v>
      </c>
      <c r="C603" s="16" t="s">
        <v>158</v>
      </c>
      <c r="D603" s="17"/>
      <c r="E603" s="20">
        <f>E604</f>
        <v>17525.599999999999</v>
      </c>
      <c r="F603" s="20">
        <f t="shared" si="222"/>
        <v>13230.4</v>
      </c>
      <c r="G603" s="20">
        <f t="shared" si="222"/>
        <v>13700.6</v>
      </c>
    </row>
    <row r="604" spans="1:7" ht="30" x14ac:dyDescent="0.25">
      <c r="A604" s="1" t="s">
        <v>56</v>
      </c>
      <c r="B604" s="15" t="s">
        <v>149</v>
      </c>
      <c r="C604" s="16" t="s">
        <v>158</v>
      </c>
      <c r="D604" s="17">
        <v>600</v>
      </c>
      <c r="E604" s="120">
        <f>13092.6+2250+2000+234.2-51.2</f>
        <v>17525.599999999999</v>
      </c>
      <c r="F604" s="120">
        <v>13230.4</v>
      </c>
      <c r="G604" s="120">
        <v>13700.6</v>
      </c>
    </row>
    <row r="605" spans="1:7" ht="30" x14ac:dyDescent="0.25">
      <c r="A605" s="65" t="s">
        <v>491</v>
      </c>
      <c r="B605" s="15" t="s">
        <v>149</v>
      </c>
      <c r="C605" s="16" t="s">
        <v>266</v>
      </c>
      <c r="D605" s="17"/>
      <c r="E605" s="20">
        <f>SUM(E606)</f>
        <v>1328.8</v>
      </c>
      <c r="F605" s="20">
        <f t="shared" ref="F605:G606" si="223">SUM(F606)</f>
        <v>14017.400000000001</v>
      </c>
      <c r="G605" s="20">
        <f t="shared" si="223"/>
        <v>14017.400000000001</v>
      </c>
    </row>
    <row r="606" spans="1:7" x14ac:dyDescent="0.25">
      <c r="A606" s="61" t="s">
        <v>290</v>
      </c>
      <c r="B606" s="16" t="s">
        <v>149</v>
      </c>
      <c r="C606" s="16" t="s">
        <v>291</v>
      </c>
      <c r="D606" s="64"/>
      <c r="E606" s="20">
        <f>SUM(E607)</f>
        <v>1328.8</v>
      </c>
      <c r="F606" s="20">
        <f t="shared" si="223"/>
        <v>14017.400000000001</v>
      </c>
      <c r="G606" s="20">
        <f t="shared" si="223"/>
        <v>14017.400000000001</v>
      </c>
    </row>
    <row r="607" spans="1:7" ht="30" x14ac:dyDescent="0.25">
      <c r="A607" s="84" t="s">
        <v>292</v>
      </c>
      <c r="B607" s="76" t="s">
        <v>149</v>
      </c>
      <c r="C607" s="76" t="s">
        <v>293</v>
      </c>
      <c r="D607" s="64"/>
      <c r="E607" s="20">
        <f>SUM(E608+E610)+E612</f>
        <v>1328.8</v>
      </c>
      <c r="F607" s="20">
        <f t="shared" ref="F607:G607" si="224">SUM(F608+F610)+F612</f>
        <v>14017.400000000001</v>
      </c>
      <c r="G607" s="20">
        <f t="shared" si="224"/>
        <v>14017.400000000001</v>
      </c>
    </row>
    <row r="608" spans="1:7" ht="30" x14ac:dyDescent="0.25">
      <c r="A608" s="61" t="s">
        <v>294</v>
      </c>
      <c r="B608" s="16" t="s">
        <v>149</v>
      </c>
      <c r="C608" s="16" t="s">
        <v>295</v>
      </c>
      <c r="D608" s="64"/>
      <c r="E608" s="20">
        <f>E609</f>
        <v>1328.8</v>
      </c>
      <c r="F608" s="20">
        <f t="shared" ref="F608:G608" si="225">F609</f>
        <v>1000</v>
      </c>
      <c r="G608" s="20">
        <f t="shared" si="225"/>
        <v>1000</v>
      </c>
    </row>
    <row r="609" spans="1:7" ht="30" x14ac:dyDescent="0.25">
      <c r="A609" s="1" t="s">
        <v>56</v>
      </c>
      <c r="B609" s="15" t="s">
        <v>149</v>
      </c>
      <c r="C609" s="16" t="s">
        <v>295</v>
      </c>
      <c r="D609" s="17">
        <v>600</v>
      </c>
      <c r="E609" s="20">
        <f>2000-671.2</f>
        <v>1328.8</v>
      </c>
      <c r="F609" s="20">
        <v>1000</v>
      </c>
      <c r="G609" s="20">
        <v>1000</v>
      </c>
    </row>
    <row r="610" spans="1:7" ht="30" x14ac:dyDescent="0.25">
      <c r="A610" s="1" t="s">
        <v>296</v>
      </c>
      <c r="B610" s="15" t="s">
        <v>149</v>
      </c>
      <c r="C610" s="16" t="s">
        <v>297</v>
      </c>
      <c r="D610" s="17"/>
      <c r="E610" s="20">
        <f>SUM(E611:E611)</f>
        <v>0</v>
      </c>
      <c r="F610" s="20">
        <f>SUM(F611:F611)</f>
        <v>5526.8</v>
      </c>
      <c r="G610" s="20">
        <f>SUM(G611:G611)</f>
        <v>5526.8</v>
      </c>
    </row>
    <row r="611" spans="1:7" x14ac:dyDescent="0.25">
      <c r="A611" s="1" t="s">
        <v>29</v>
      </c>
      <c r="B611" s="15" t="s">
        <v>149</v>
      </c>
      <c r="C611" s="16" t="s">
        <v>297</v>
      </c>
      <c r="D611" s="17">
        <v>300</v>
      </c>
      <c r="E611" s="20">
        <f>5526.8-800-4726.8</f>
        <v>0</v>
      </c>
      <c r="F611" s="20">
        <v>5526.8</v>
      </c>
      <c r="G611" s="20">
        <v>5526.8</v>
      </c>
    </row>
    <row r="612" spans="1:7" ht="45" x14ac:dyDescent="0.25">
      <c r="A612" s="65" t="s">
        <v>545</v>
      </c>
      <c r="B612" s="15" t="s">
        <v>149</v>
      </c>
      <c r="C612" s="108" t="s">
        <v>390</v>
      </c>
      <c r="D612" s="17"/>
      <c r="E612" s="120">
        <f>E613+E614</f>
        <v>0</v>
      </c>
      <c r="F612" s="120">
        <f t="shared" ref="F612:G612" si="226">F613+F614</f>
        <v>7490.6</v>
      </c>
      <c r="G612" s="120">
        <f t="shared" si="226"/>
        <v>7490.6</v>
      </c>
    </row>
    <row r="613" spans="1:7" ht="30" x14ac:dyDescent="0.25">
      <c r="A613" s="65" t="s">
        <v>21</v>
      </c>
      <c r="B613" s="15" t="s">
        <v>149</v>
      </c>
      <c r="C613" s="108" t="s">
        <v>390</v>
      </c>
      <c r="D613" s="17">
        <v>200</v>
      </c>
      <c r="E613" s="120">
        <f>40-40</f>
        <v>0</v>
      </c>
      <c r="F613" s="120">
        <v>40</v>
      </c>
      <c r="G613" s="120">
        <v>40</v>
      </c>
    </row>
    <row r="614" spans="1:7" x14ac:dyDescent="0.25">
      <c r="A614" s="65" t="s">
        <v>29</v>
      </c>
      <c r="B614" s="15" t="s">
        <v>149</v>
      </c>
      <c r="C614" s="108" t="s">
        <v>390</v>
      </c>
      <c r="D614" s="17">
        <v>300</v>
      </c>
      <c r="E614" s="120">
        <f>7450.6+478.1-4159.6-478.2-3290.9</f>
        <v>0</v>
      </c>
      <c r="F614" s="120">
        <v>7450.6</v>
      </c>
      <c r="G614" s="120">
        <v>7450.6</v>
      </c>
    </row>
    <row r="615" spans="1:7" x14ac:dyDescent="0.25">
      <c r="A615" s="9" t="s">
        <v>298</v>
      </c>
      <c r="B615" s="10" t="s">
        <v>299</v>
      </c>
      <c r="C615" s="116"/>
      <c r="D615" s="11"/>
      <c r="E615" s="95">
        <f>SUM(E619)+E616</f>
        <v>111520.59999999999</v>
      </c>
      <c r="F615" s="95">
        <f t="shared" ref="F615:G615" si="227">SUM(F619)+F616</f>
        <v>92977.600000000006</v>
      </c>
      <c r="G615" s="95">
        <f t="shared" si="227"/>
        <v>94513.499999999985</v>
      </c>
    </row>
    <row r="616" spans="1:7" s="155" customFormat="1" x14ac:dyDescent="0.25">
      <c r="A616" s="65" t="s">
        <v>10</v>
      </c>
      <c r="B616" s="15" t="s">
        <v>299</v>
      </c>
      <c r="C616" s="144" t="s">
        <v>11</v>
      </c>
      <c r="D616" s="17"/>
      <c r="E616" s="96">
        <f>E617</f>
        <v>3764.2</v>
      </c>
      <c r="F616" s="96">
        <f t="shared" ref="F616:G617" si="228">F617</f>
        <v>0</v>
      </c>
      <c r="G616" s="96">
        <f t="shared" si="228"/>
        <v>0</v>
      </c>
    </row>
    <row r="617" spans="1:7" s="155" customFormat="1" ht="60" x14ac:dyDescent="0.25">
      <c r="A617" s="65" t="s">
        <v>712</v>
      </c>
      <c r="B617" s="15" t="s">
        <v>299</v>
      </c>
      <c r="C617" s="144" t="s">
        <v>713</v>
      </c>
      <c r="D617" s="17"/>
      <c r="E617" s="96">
        <f>E618</f>
        <v>3764.2</v>
      </c>
      <c r="F617" s="96">
        <f t="shared" si="228"/>
        <v>0</v>
      </c>
      <c r="G617" s="96">
        <f t="shared" si="228"/>
        <v>0</v>
      </c>
    </row>
    <row r="618" spans="1:7" s="155" customFormat="1" x14ac:dyDescent="0.25">
      <c r="A618" s="114" t="s">
        <v>22</v>
      </c>
      <c r="B618" s="15" t="s">
        <v>299</v>
      </c>
      <c r="C618" s="144" t="s">
        <v>713</v>
      </c>
      <c r="D618" s="17">
        <v>800</v>
      </c>
      <c r="E618" s="96">
        <v>3764.2</v>
      </c>
      <c r="F618" s="96">
        <v>0</v>
      </c>
      <c r="G618" s="96">
        <v>0</v>
      </c>
    </row>
    <row r="619" spans="1:7" ht="33.75" customHeight="1" x14ac:dyDescent="0.25">
      <c r="A619" s="65" t="s">
        <v>491</v>
      </c>
      <c r="B619" s="16" t="s">
        <v>299</v>
      </c>
      <c r="C619" s="16" t="s">
        <v>266</v>
      </c>
      <c r="D619" s="64"/>
      <c r="E619" s="96">
        <f>SUM(E630+E648)+E620</f>
        <v>107756.4</v>
      </c>
      <c r="F619" s="96">
        <f>SUM(F630+F648)+F620</f>
        <v>92977.600000000006</v>
      </c>
      <c r="G619" s="96">
        <f>SUM(G630+G648)+G620</f>
        <v>94513.499999999985</v>
      </c>
    </row>
    <row r="620" spans="1:7" ht="33.75" customHeight="1" x14ac:dyDescent="0.25">
      <c r="A620" s="114" t="s">
        <v>267</v>
      </c>
      <c r="B620" s="15" t="s">
        <v>299</v>
      </c>
      <c r="C620" s="16" t="s">
        <v>268</v>
      </c>
      <c r="D620" s="64"/>
      <c r="E620" s="96">
        <f>E621</f>
        <v>549.20000000000005</v>
      </c>
      <c r="F620" s="96">
        <f t="shared" ref="F620:G620" si="229">F621</f>
        <v>2747.3</v>
      </c>
      <c r="G620" s="96">
        <f t="shared" si="229"/>
        <v>2795.7</v>
      </c>
    </row>
    <row r="621" spans="1:7" ht="39.75" customHeight="1" x14ac:dyDescent="0.25">
      <c r="A621" s="72" t="s">
        <v>269</v>
      </c>
      <c r="B621" s="15" t="s">
        <v>299</v>
      </c>
      <c r="C621" s="16" t="s">
        <v>270</v>
      </c>
      <c r="D621" s="64"/>
      <c r="E621" s="96">
        <f>E622+E626+E624+E628</f>
        <v>549.20000000000005</v>
      </c>
      <c r="F621" s="96">
        <f t="shared" ref="F621:G621" si="230">F622+F626+F624+F628</f>
        <v>2747.3</v>
      </c>
      <c r="G621" s="96">
        <f t="shared" si="230"/>
        <v>2795.7</v>
      </c>
    </row>
    <row r="622" spans="1:7" ht="63" customHeight="1" x14ac:dyDescent="0.25">
      <c r="A622" s="130" t="s">
        <v>544</v>
      </c>
      <c r="B622" s="16" t="s">
        <v>299</v>
      </c>
      <c r="C622" s="76" t="s">
        <v>497</v>
      </c>
      <c r="D622" s="64"/>
      <c r="E622" s="96">
        <f>E623</f>
        <v>0</v>
      </c>
      <c r="F622" s="96">
        <f t="shared" ref="F622:G622" si="231">F623</f>
        <v>0</v>
      </c>
      <c r="G622" s="96">
        <f t="shared" si="231"/>
        <v>0</v>
      </c>
    </row>
    <row r="623" spans="1:7" ht="30" customHeight="1" x14ac:dyDescent="0.25">
      <c r="A623" s="65" t="s">
        <v>21</v>
      </c>
      <c r="B623" s="16" t="s">
        <v>299</v>
      </c>
      <c r="C623" s="76" t="s">
        <v>497</v>
      </c>
      <c r="D623" s="64">
        <v>200</v>
      </c>
      <c r="E623" s="96">
        <f>503.2-164.2-339</f>
        <v>0</v>
      </c>
      <c r="F623" s="96">
        <v>0</v>
      </c>
      <c r="G623" s="96">
        <v>0</v>
      </c>
    </row>
    <row r="624" spans="1:7" ht="79.5" customHeight="1" x14ac:dyDescent="0.25">
      <c r="A624" s="65" t="s">
        <v>666</v>
      </c>
      <c r="B624" s="16" t="s">
        <v>299</v>
      </c>
      <c r="C624" s="16" t="s">
        <v>668</v>
      </c>
      <c r="D624" s="64"/>
      <c r="E624" s="96">
        <f>E625</f>
        <v>0</v>
      </c>
      <c r="F624" s="96">
        <f t="shared" ref="F624:G624" si="232">F625</f>
        <v>1372.4</v>
      </c>
      <c r="G624" s="96">
        <f t="shared" si="232"/>
        <v>1372.4</v>
      </c>
    </row>
    <row r="625" spans="1:7" ht="30" customHeight="1" x14ac:dyDescent="0.25">
      <c r="A625" s="65" t="s">
        <v>21</v>
      </c>
      <c r="B625" s="16" t="s">
        <v>299</v>
      </c>
      <c r="C625" s="16" t="s">
        <v>668</v>
      </c>
      <c r="D625" s="64">
        <v>200</v>
      </c>
      <c r="E625" s="96">
        <f>457.5+9.6-467.1</f>
        <v>0</v>
      </c>
      <c r="F625" s="96">
        <v>1372.4</v>
      </c>
      <c r="G625" s="96">
        <v>1372.4</v>
      </c>
    </row>
    <row r="626" spans="1:7" ht="66" customHeight="1" x14ac:dyDescent="0.25">
      <c r="A626" s="62" t="s">
        <v>547</v>
      </c>
      <c r="B626" s="16" t="s">
        <v>299</v>
      </c>
      <c r="C626" s="16" t="s">
        <v>309</v>
      </c>
      <c r="D626" s="64"/>
      <c r="E626" s="96">
        <f>E627</f>
        <v>0</v>
      </c>
      <c r="F626" s="96">
        <f t="shared" ref="F626:G626" si="233">F627</f>
        <v>0</v>
      </c>
      <c r="G626" s="96">
        <f t="shared" si="233"/>
        <v>0</v>
      </c>
    </row>
    <row r="627" spans="1:7" ht="29.25" customHeight="1" x14ac:dyDescent="0.25">
      <c r="A627" s="65" t="s">
        <v>21</v>
      </c>
      <c r="B627" s="16" t="s">
        <v>299</v>
      </c>
      <c r="C627" s="16" t="s">
        <v>309</v>
      </c>
      <c r="D627" s="64">
        <v>200</v>
      </c>
      <c r="E627" s="96">
        <f>762.6-151.5-611.1</f>
        <v>0</v>
      </c>
      <c r="F627" s="96">
        <v>0</v>
      </c>
      <c r="G627" s="96">
        <v>0</v>
      </c>
    </row>
    <row r="628" spans="1:7" ht="74.25" customHeight="1" x14ac:dyDescent="0.25">
      <c r="A628" s="65" t="s">
        <v>703</v>
      </c>
      <c r="B628" s="16" t="s">
        <v>299</v>
      </c>
      <c r="C628" s="16" t="s">
        <v>682</v>
      </c>
      <c r="D628" s="16"/>
      <c r="E628" s="96">
        <f>E629</f>
        <v>549.20000000000005</v>
      </c>
      <c r="F628" s="96">
        <f t="shared" ref="F628:G628" si="234">F629</f>
        <v>1374.9</v>
      </c>
      <c r="G628" s="96">
        <f t="shared" si="234"/>
        <v>1423.3</v>
      </c>
    </row>
    <row r="629" spans="1:7" ht="29.25" customHeight="1" x14ac:dyDescent="0.25">
      <c r="A629" s="65" t="s">
        <v>21</v>
      </c>
      <c r="B629" s="16" t="s">
        <v>299</v>
      </c>
      <c r="C629" s="16" t="s">
        <v>682</v>
      </c>
      <c r="D629" s="16" t="s">
        <v>48</v>
      </c>
      <c r="E629" s="96">
        <v>549.20000000000005</v>
      </c>
      <c r="F629" s="96">
        <v>1374.9</v>
      </c>
      <c r="G629" s="96">
        <v>1423.3</v>
      </c>
    </row>
    <row r="630" spans="1:7" x14ac:dyDescent="0.25">
      <c r="A630" s="61" t="s">
        <v>290</v>
      </c>
      <c r="B630" s="16" t="s">
        <v>299</v>
      </c>
      <c r="C630" s="76" t="s">
        <v>291</v>
      </c>
      <c r="D630" s="64"/>
      <c r="E630" s="96">
        <f>SUM(E631+E644)</f>
        <v>9930</v>
      </c>
      <c r="F630" s="96">
        <f t="shared" ref="F630:G630" si="235">SUM(F631+F644)</f>
        <v>8865</v>
      </c>
      <c r="G630" s="96">
        <f t="shared" si="235"/>
        <v>8865</v>
      </c>
    </row>
    <row r="631" spans="1:7" ht="30" x14ac:dyDescent="0.25">
      <c r="A631" s="84" t="s">
        <v>300</v>
      </c>
      <c r="B631" s="16" t="s">
        <v>299</v>
      </c>
      <c r="C631" s="76" t="s">
        <v>301</v>
      </c>
      <c r="D631" s="64"/>
      <c r="E631" s="96">
        <f>E638+E632+E635+E641</f>
        <v>9677.2000000000007</v>
      </c>
      <c r="F631" s="96">
        <f t="shared" ref="F631:G631" si="236">F638+F632+F635+F641</f>
        <v>8530.2000000000007</v>
      </c>
      <c r="G631" s="96">
        <f t="shared" si="236"/>
        <v>8530.2000000000007</v>
      </c>
    </row>
    <row r="632" spans="1:7" ht="45" x14ac:dyDescent="0.25">
      <c r="A632" s="65" t="s">
        <v>548</v>
      </c>
      <c r="B632" s="15" t="s">
        <v>299</v>
      </c>
      <c r="C632" s="16" t="s">
        <v>311</v>
      </c>
      <c r="D632" s="64"/>
      <c r="E632" s="96">
        <f>E633+E634</f>
        <v>0</v>
      </c>
      <c r="F632" s="96">
        <f t="shared" ref="F632:G632" si="237">F633+F634</f>
        <v>0</v>
      </c>
      <c r="G632" s="96">
        <f t="shared" si="237"/>
        <v>0</v>
      </c>
    </row>
    <row r="633" spans="1:7" ht="30" x14ac:dyDescent="0.25">
      <c r="A633" s="65" t="s">
        <v>21</v>
      </c>
      <c r="B633" s="15" t="s">
        <v>299</v>
      </c>
      <c r="C633" s="16" t="s">
        <v>311</v>
      </c>
      <c r="D633" s="64">
        <v>200</v>
      </c>
      <c r="E633" s="96">
        <f>73-1.1-71.9</f>
        <v>0</v>
      </c>
      <c r="F633" s="96">
        <v>0</v>
      </c>
      <c r="G633" s="96">
        <v>0</v>
      </c>
    </row>
    <row r="634" spans="1:7" s="155" customFormat="1" x14ac:dyDescent="0.25">
      <c r="A634" s="65" t="s">
        <v>29</v>
      </c>
      <c r="B634" s="15" t="s">
        <v>299</v>
      </c>
      <c r="C634" s="144" t="s">
        <v>311</v>
      </c>
      <c r="D634" s="64">
        <v>300</v>
      </c>
      <c r="E634" s="96"/>
      <c r="F634" s="96"/>
      <c r="G634" s="96"/>
    </row>
    <row r="635" spans="1:7" ht="60" x14ac:dyDescent="0.25">
      <c r="A635" s="65" t="s">
        <v>557</v>
      </c>
      <c r="B635" s="15" t="s">
        <v>299</v>
      </c>
      <c r="C635" s="16" t="s">
        <v>310</v>
      </c>
      <c r="D635" s="17"/>
      <c r="E635" s="96">
        <f>E636+E637</f>
        <v>0</v>
      </c>
      <c r="F635" s="96">
        <f t="shared" ref="F635:G635" si="238">F636+F637</f>
        <v>0</v>
      </c>
      <c r="G635" s="96">
        <f t="shared" si="238"/>
        <v>0</v>
      </c>
    </row>
    <row r="636" spans="1:7" ht="30" x14ac:dyDescent="0.25">
      <c r="A636" s="65" t="s">
        <v>21</v>
      </c>
      <c r="B636" s="15" t="s">
        <v>299</v>
      </c>
      <c r="C636" s="16" t="s">
        <v>310</v>
      </c>
      <c r="D636" s="17">
        <v>200</v>
      </c>
      <c r="E636" s="96">
        <f>4.7-4.7</f>
        <v>0</v>
      </c>
      <c r="F636" s="96">
        <v>0</v>
      </c>
      <c r="G636" s="96">
        <v>0</v>
      </c>
    </row>
    <row r="637" spans="1:7" s="155" customFormat="1" x14ac:dyDescent="0.25">
      <c r="A637" s="65" t="s">
        <v>29</v>
      </c>
      <c r="B637" s="15" t="s">
        <v>299</v>
      </c>
      <c r="C637" s="144" t="s">
        <v>310</v>
      </c>
      <c r="D637" s="17">
        <v>300</v>
      </c>
      <c r="E637" s="96"/>
      <c r="F637" s="96">
        <v>0</v>
      </c>
      <c r="G637" s="96">
        <v>0</v>
      </c>
    </row>
    <row r="638" spans="1:7" ht="45" x14ac:dyDescent="0.25">
      <c r="A638" s="65" t="s">
        <v>546</v>
      </c>
      <c r="B638" s="16" t="s">
        <v>299</v>
      </c>
      <c r="C638" s="86" t="s">
        <v>302</v>
      </c>
      <c r="D638" s="64"/>
      <c r="E638" s="120">
        <f>E639+E640</f>
        <v>8895.6</v>
      </c>
      <c r="F638" s="120">
        <f t="shared" ref="F638:G638" si="239">F639+F640</f>
        <v>8530.2000000000007</v>
      </c>
      <c r="G638" s="120">
        <f t="shared" si="239"/>
        <v>8530.2000000000007</v>
      </c>
    </row>
    <row r="639" spans="1:7" ht="60" x14ac:dyDescent="0.25">
      <c r="A639" s="65" t="s">
        <v>14</v>
      </c>
      <c r="B639" s="16" t="s">
        <v>299</v>
      </c>
      <c r="C639" s="86" t="s">
        <v>302</v>
      </c>
      <c r="D639" s="106">
        <v>100</v>
      </c>
      <c r="E639" s="120">
        <f>8651.6+45.5-24.5</f>
        <v>8672.6</v>
      </c>
      <c r="F639" s="120">
        <v>8530.2000000000007</v>
      </c>
      <c r="G639" s="120">
        <v>8530.2000000000007</v>
      </c>
    </row>
    <row r="640" spans="1:7" ht="30" x14ac:dyDescent="0.25">
      <c r="A640" s="65" t="s">
        <v>21</v>
      </c>
      <c r="B640" s="15" t="s">
        <v>299</v>
      </c>
      <c r="C640" s="86" t="s">
        <v>302</v>
      </c>
      <c r="D640" s="106">
        <v>200</v>
      </c>
      <c r="E640" s="120">
        <f>244-45.5+24.5</f>
        <v>223</v>
      </c>
      <c r="F640" s="120">
        <v>0</v>
      </c>
      <c r="G640" s="120">
        <v>0</v>
      </c>
    </row>
    <row r="641" spans="1:7" ht="60" x14ac:dyDescent="0.25">
      <c r="A641" s="65" t="s">
        <v>549</v>
      </c>
      <c r="B641" s="15" t="s">
        <v>299</v>
      </c>
      <c r="C641" s="16" t="s">
        <v>517</v>
      </c>
      <c r="D641" s="106"/>
      <c r="E641" s="120">
        <f>E642+E643</f>
        <v>781.6</v>
      </c>
      <c r="F641" s="120">
        <f t="shared" ref="F641:G641" si="240">F642+F643</f>
        <v>0</v>
      </c>
      <c r="G641" s="120">
        <f t="shared" si="240"/>
        <v>0</v>
      </c>
    </row>
    <row r="642" spans="1:7" ht="30" x14ac:dyDescent="0.25">
      <c r="A642" s="65" t="s">
        <v>21</v>
      </c>
      <c r="B642" s="15" t="s">
        <v>299</v>
      </c>
      <c r="C642" s="16" t="s">
        <v>517</v>
      </c>
      <c r="D642" s="106">
        <v>200</v>
      </c>
      <c r="E642" s="120">
        <f>781.6-406</f>
        <v>375.6</v>
      </c>
      <c r="F642" s="120">
        <v>0</v>
      </c>
      <c r="G642" s="120">
        <v>0</v>
      </c>
    </row>
    <row r="643" spans="1:7" s="155" customFormat="1" x14ac:dyDescent="0.25">
      <c r="A643" s="65" t="s">
        <v>29</v>
      </c>
      <c r="B643" s="15" t="s">
        <v>299</v>
      </c>
      <c r="C643" s="144" t="s">
        <v>517</v>
      </c>
      <c r="D643" s="106">
        <v>300</v>
      </c>
      <c r="E643" s="120">
        <v>406</v>
      </c>
      <c r="F643" s="120"/>
      <c r="G643" s="120"/>
    </row>
    <row r="644" spans="1:7" x14ac:dyDescent="0.25">
      <c r="A644" s="88" t="s">
        <v>396</v>
      </c>
      <c r="B644" s="15" t="s">
        <v>299</v>
      </c>
      <c r="C644" s="108" t="s">
        <v>398</v>
      </c>
      <c r="D644" s="106"/>
      <c r="E644" s="20">
        <f t="shared" ref="E644:G644" si="241">E645</f>
        <v>252.79999999999998</v>
      </c>
      <c r="F644" s="20">
        <f t="shared" si="241"/>
        <v>334.8</v>
      </c>
      <c r="G644" s="20">
        <f t="shared" si="241"/>
        <v>334.8</v>
      </c>
    </row>
    <row r="645" spans="1:7" ht="30" x14ac:dyDescent="0.25">
      <c r="A645" s="88" t="s">
        <v>397</v>
      </c>
      <c r="B645" s="15" t="s">
        <v>299</v>
      </c>
      <c r="C645" s="108" t="s">
        <v>399</v>
      </c>
      <c r="D645" s="106"/>
      <c r="E645" s="20">
        <f>E646+E647</f>
        <v>252.79999999999998</v>
      </c>
      <c r="F645" s="20">
        <f>F646+F647</f>
        <v>334.8</v>
      </c>
      <c r="G645" s="20">
        <f>G646+G647</f>
        <v>334.8</v>
      </c>
    </row>
    <row r="646" spans="1:7" ht="30" x14ac:dyDescent="0.25">
      <c r="A646" s="65" t="s">
        <v>21</v>
      </c>
      <c r="B646" s="15" t="s">
        <v>299</v>
      </c>
      <c r="C646" s="108" t="s">
        <v>399</v>
      </c>
      <c r="D646" s="106">
        <v>200</v>
      </c>
      <c r="E646" s="120">
        <f>334.8+52.2-217.1+200.1-317.3</f>
        <v>52.699999999999989</v>
      </c>
      <c r="F646" s="120">
        <v>334.8</v>
      </c>
      <c r="G646" s="120">
        <v>334.8</v>
      </c>
    </row>
    <row r="647" spans="1:7" s="155" customFormat="1" ht="30" x14ac:dyDescent="0.25">
      <c r="A647" s="65" t="s">
        <v>56</v>
      </c>
      <c r="B647" s="15" t="s">
        <v>299</v>
      </c>
      <c r="C647" s="158" t="s">
        <v>399</v>
      </c>
      <c r="D647" s="106">
        <v>600</v>
      </c>
      <c r="E647" s="120">
        <v>200.1</v>
      </c>
      <c r="F647" s="120"/>
      <c r="G647" s="120"/>
    </row>
    <row r="648" spans="1:7" ht="45" x14ac:dyDescent="0.25">
      <c r="A648" s="65" t="s">
        <v>499</v>
      </c>
      <c r="B648" s="15" t="s">
        <v>299</v>
      </c>
      <c r="C648" s="76" t="s">
        <v>273</v>
      </c>
      <c r="D648" s="17"/>
      <c r="E648" s="20">
        <f>SUM(E649+E660)</f>
        <v>97277.2</v>
      </c>
      <c r="F648" s="20">
        <f t="shared" ref="F648:G648" si="242">SUM(F649+F660)</f>
        <v>81365.3</v>
      </c>
      <c r="G648" s="20">
        <f t="shared" si="242"/>
        <v>82852.799999999988</v>
      </c>
    </row>
    <row r="649" spans="1:7" x14ac:dyDescent="0.25">
      <c r="A649" s="1" t="s">
        <v>303</v>
      </c>
      <c r="B649" s="15" t="s">
        <v>299</v>
      </c>
      <c r="C649" s="76" t="s">
        <v>304</v>
      </c>
      <c r="D649" s="17"/>
      <c r="E649" s="20">
        <f>SUM(E650+E655)</f>
        <v>97081.2</v>
      </c>
      <c r="F649" s="20">
        <f>SUM(F650+F655)</f>
        <v>80859.3</v>
      </c>
      <c r="G649" s="20">
        <f>SUM(G650+G655)</f>
        <v>82346.799999999988</v>
      </c>
    </row>
    <row r="650" spans="1:7" ht="30" x14ac:dyDescent="0.25">
      <c r="A650" s="61" t="s">
        <v>42</v>
      </c>
      <c r="B650" s="15" t="s">
        <v>299</v>
      </c>
      <c r="C650" s="108" t="s">
        <v>305</v>
      </c>
      <c r="D650" s="17"/>
      <c r="E650" s="20">
        <f>SUM(E651:E654)</f>
        <v>29187.8</v>
      </c>
      <c r="F650" s="20">
        <f>SUM(F651:F654)</f>
        <v>25155.7</v>
      </c>
      <c r="G650" s="20">
        <f>SUM(G651:G654)</f>
        <v>26111.4</v>
      </c>
    </row>
    <row r="651" spans="1:7" ht="60" x14ac:dyDescent="0.25">
      <c r="A651" s="1" t="s">
        <v>14</v>
      </c>
      <c r="B651" s="15" t="s">
        <v>299</v>
      </c>
      <c r="C651" s="108" t="s">
        <v>305</v>
      </c>
      <c r="D651" s="17">
        <v>100</v>
      </c>
      <c r="E651" s="120">
        <f>23019.2+4793.9-4.5-10.8</f>
        <v>27797.8</v>
      </c>
      <c r="F651" s="120">
        <v>23950.7</v>
      </c>
      <c r="G651" s="120">
        <v>24906.400000000001</v>
      </c>
    </row>
    <row r="652" spans="1:7" ht="30" x14ac:dyDescent="0.25">
      <c r="A652" s="1" t="s">
        <v>21</v>
      </c>
      <c r="B652" s="15" t="s">
        <v>299</v>
      </c>
      <c r="C652" s="108" t="s">
        <v>305</v>
      </c>
      <c r="D652" s="17">
        <v>200</v>
      </c>
      <c r="E652" s="120">
        <f>1250+15.2-406</f>
        <v>859.2</v>
      </c>
      <c r="F652" s="120">
        <v>1204.4000000000001</v>
      </c>
      <c r="G652" s="120">
        <v>1204.4000000000001</v>
      </c>
    </row>
    <row r="653" spans="1:7" x14ac:dyDescent="0.25">
      <c r="A653" s="65" t="s">
        <v>29</v>
      </c>
      <c r="B653" s="15" t="s">
        <v>299</v>
      </c>
      <c r="C653" s="108" t="s">
        <v>305</v>
      </c>
      <c r="D653" s="17">
        <v>300</v>
      </c>
      <c r="E653" s="120">
        <f>324.6+4.5+205.5-4.4</f>
        <v>530.20000000000005</v>
      </c>
      <c r="F653" s="120">
        <v>0</v>
      </c>
      <c r="G653" s="120">
        <v>0</v>
      </c>
    </row>
    <row r="654" spans="1:7" x14ac:dyDescent="0.25">
      <c r="A654" s="60" t="s">
        <v>22</v>
      </c>
      <c r="B654" s="15" t="s">
        <v>299</v>
      </c>
      <c r="C654" s="108" t="s">
        <v>305</v>
      </c>
      <c r="D654" s="17">
        <v>800</v>
      </c>
      <c r="E654" s="120">
        <v>0.6</v>
      </c>
      <c r="F654" s="120">
        <v>0.6</v>
      </c>
      <c r="G654" s="120">
        <v>0.6</v>
      </c>
    </row>
    <row r="655" spans="1:7" ht="30" x14ac:dyDescent="0.25">
      <c r="A655" s="60" t="s">
        <v>51</v>
      </c>
      <c r="B655" s="15" t="s">
        <v>299</v>
      </c>
      <c r="C655" s="108" t="s">
        <v>306</v>
      </c>
      <c r="D655" s="17"/>
      <c r="E655" s="20">
        <f>SUM(E656:E659)</f>
        <v>67893.399999999994</v>
      </c>
      <c r="F655" s="20">
        <f t="shared" ref="F655:G655" si="243">SUM(F656:F659)</f>
        <v>55703.600000000006</v>
      </c>
      <c r="G655" s="20">
        <f t="shared" si="243"/>
        <v>56235.399999999994</v>
      </c>
    </row>
    <row r="656" spans="1:7" ht="60" x14ac:dyDescent="0.25">
      <c r="A656" s="1" t="s">
        <v>14</v>
      </c>
      <c r="B656" s="15" t="s">
        <v>299</v>
      </c>
      <c r="C656" s="108" t="s">
        <v>306</v>
      </c>
      <c r="D656" s="17">
        <v>100</v>
      </c>
      <c r="E656" s="120">
        <f>46937+13124-774.5+15.8+141.3</f>
        <v>59443.600000000006</v>
      </c>
      <c r="F656" s="120">
        <v>48402.8</v>
      </c>
      <c r="G656" s="120">
        <v>48886.7</v>
      </c>
    </row>
    <row r="657" spans="1:7" ht="30" x14ac:dyDescent="0.25">
      <c r="A657" s="1" t="s">
        <v>21</v>
      </c>
      <c r="B657" s="15" t="s">
        <v>299</v>
      </c>
      <c r="C657" s="108" t="s">
        <v>306</v>
      </c>
      <c r="D657" s="17">
        <v>200</v>
      </c>
      <c r="E657" s="120">
        <f>2263.7-1800+1784.2+38.1</f>
        <v>2285.9999999999995</v>
      </c>
      <c r="F657" s="120">
        <v>2170.6</v>
      </c>
      <c r="G657" s="120">
        <v>2170.6</v>
      </c>
    </row>
    <row r="658" spans="1:7" ht="30" x14ac:dyDescent="0.25">
      <c r="A658" s="1" t="s">
        <v>56</v>
      </c>
      <c r="B658" s="15" t="s">
        <v>299</v>
      </c>
      <c r="C658" s="108" t="s">
        <v>306</v>
      </c>
      <c r="D658" s="17">
        <v>600</v>
      </c>
      <c r="E658" s="120">
        <f>4952.6+633.8+1112.3-537.3</f>
        <v>6161.4000000000005</v>
      </c>
      <c r="F658" s="120">
        <v>5127.8</v>
      </c>
      <c r="G658" s="120">
        <v>5175.7</v>
      </c>
    </row>
    <row r="659" spans="1:7" x14ac:dyDescent="0.25">
      <c r="A659" s="60" t="s">
        <v>22</v>
      </c>
      <c r="B659" s="15" t="s">
        <v>299</v>
      </c>
      <c r="C659" s="108" t="s">
        <v>306</v>
      </c>
      <c r="D659" s="17">
        <v>800</v>
      </c>
      <c r="E659" s="120">
        <v>2.4</v>
      </c>
      <c r="F659" s="120">
        <v>2.4</v>
      </c>
      <c r="G659" s="120">
        <v>2.4</v>
      </c>
    </row>
    <row r="660" spans="1:7" ht="30" x14ac:dyDescent="0.25">
      <c r="A660" s="117" t="s">
        <v>400</v>
      </c>
      <c r="B660" s="15" t="s">
        <v>299</v>
      </c>
      <c r="C660" s="108" t="s">
        <v>275</v>
      </c>
      <c r="D660" s="17"/>
      <c r="E660" s="20">
        <f>E661</f>
        <v>196</v>
      </c>
      <c r="F660" s="20">
        <f t="shared" ref="F660:G661" si="244">F661</f>
        <v>506</v>
      </c>
      <c r="G660" s="20">
        <f t="shared" si="244"/>
        <v>506</v>
      </c>
    </row>
    <row r="661" spans="1:7" ht="30" x14ac:dyDescent="0.25">
      <c r="A661" s="117" t="s">
        <v>286</v>
      </c>
      <c r="B661" s="15" t="s">
        <v>299</v>
      </c>
      <c r="C661" s="108" t="s">
        <v>287</v>
      </c>
      <c r="D661" s="17"/>
      <c r="E661" s="20">
        <f>E662</f>
        <v>196</v>
      </c>
      <c r="F661" s="20">
        <f t="shared" si="244"/>
        <v>506</v>
      </c>
      <c r="G661" s="20">
        <f t="shared" si="244"/>
        <v>506</v>
      </c>
    </row>
    <row r="662" spans="1:7" ht="30" x14ac:dyDescent="0.25">
      <c r="A662" s="65" t="s">
        <v>56</v>
      </c>
      <c r="B662" s="15" t="s">
        <v>299</v>
      </c>
      <c r="C662" s="108" t="s">
        <v>287</v>
      </c>
      <c r="D662" s="17">
        <v>600</v>
      </c>
      <c r="E662" s="120">
        <f>506-310</f>
        <v>196</v>
      </c>
      <c r="F662" s="120">
        <v>506</v>
      </c>
      <c r="G662" s="120">
        <v>506</v>
      </c>
    </row>
    <row r="663" spans="1:7" x14ac:dyDescent="0.25">
      <c r="A663" s="9" t="s">
        <v>318</v>
      </c>
      <c r="B663" s="10" t="s">
        <v>319</v>
      </c>
      <c r="C663" s="116"/>
      <c r="D663" s="11"/>
      <c r="E663" s="12">
        <f>SUM(E664+E691)</f>
        <v>302857.59999999998</v>
      </c>
      <c r="F663" s="12">
        <f>SUM(F664+F691)</f>
        <v>254933.3</v>
      </c>
      <c r="G663" s="12">
        <f>SUM(G664+G691)</f>
        <v>266813.8</v>
      </c>
    </row>
    <row r="664" spans="1:7" x14ac:dyDescent="0.25">
      <c r="A664" s="9" t="s">
        <v>320</v>
      </c>
      <c r="B664" s="10" t="s">
        <v>321</v>
      </c>
      <c r="C664" s="14"/>
      <c r="D664" s="11"/>
      <c r="E664" s="12">
        <f>SUM(E671)+E665</f>
        <v>245539.9</v>
      </c>
      <c r="F664" s="12">
        <f t="shared" ref="F664:G664" si="245">SUM(F671)+F665</f>
        <v>203336.5</v>
      </c>
      <c r="G664" s="12">
        <f t="shared" si="245"/>
        <v>213305.1</v>
      </c>
    </row>
    <row r="665" spans="1:7" x14ac:dyDescent="0.25">
      <c r="A665" s="65" t="s">
        <v>10</v>
      </c>
      <c r="B665" s="15" t="s">
        <v>321</v>
      </c>
      <c r="C665" s="144" t="s">
        <v>11</v>
      </c>
      <c r="D665" s="17"/>
      <c r="E665" s="58">
        <f>E666+E668</f>
        <v>4176.7999999999993</v>
      </c>
      <c r="F665" s="58">
        <f t="shared" ref="F665:G666" si="246">F666</f>
        <v>0</v>
      </c>
      <c r="G665" s="58">
        <f t="shared" si="246"/>
        <v>0</v>
      </c>
    </row>
    <row r="666" spans="1:7" ht="30" x14ac:dyDescent="0.25">
      <c r="A666" s="65" t="s">
        <v>606</v>
      </c>
      <c r="B666" s="15" t="s">
        <v>321</v>
      </c>
      <c r="C666" s="144" t="s">
        <v>607</v>
      </c>
      <c r="D666" s="17"/>
      <c r="E666" s="58">
        <f>E667</f>
        <v>2105.1999999999998</v>
      </c>
      <c r="F666" s="58">
        <f t="shared" si="246"/>
        <v>0</v>
      </c>
      <c r="G666" s="58">
        <f t="shared" si="246"/>
        <v>0</v>
      </c>
    </row>
    <row r="667" spans="1:7" ht="30" x14ac:dyDescent="0.25">
      <c r="A667" s="65" t="s">
        <v>56</v>
      </c>
      <c r="B667" s="15" t="s">
        <v>321</v>
      </c>
      <c r="C667" s="144" t="s">
        <v>607</v>
      </c>
      <c r="D667" s="17">
        <v>600</v>
      </c>
      <c r="E667" s="58">
        <v>2105.1999999999998</v>
      </c>
      <c r="F667" s="58">
        <v>0</v>
      </c>
      <c r="G667" s="58">
        <v>0</v>
      </c>
    </row>
    <row r="668" spans="1:7" s="155" customFormat="1" ht="60" x14ac:dyDescent="0.25">
      <c r="A668" s="65" t="s">
        <v>712</v>
      </c>
      <c r="B668" s="15" t="s">
        <v>321</v>
      </c>
      <c r="C668" s="144" t="s">
        <v>713</v>
      </c>
      <c r="D668" s="17"/>
      <c r="E668" s="58">
        <f>E669+E670</f>
        <v>2071.6</v>
      </c>
      <c r="F668" s="58">
        <f t="shared" ref="F668:G668" si="247">F669+F670</f>
        <v>0</v>
      </c>
      <c r="G668" s="58">
        <f t="shared" si="247"/>
        <v>0</v>
      </c>
    </row>
    <row r="669" spans="1:7" s="155" customFormat="1" ht="30" x14ac:dyDescent="0.25">
      <c r="A669" s="65" t="s">
        <v>56</v>
      </c>
      <c r="B669" s="15" t="s">
        <v>321</v>
      </c>
      <c r="C669" s="144" t="s">
        <v>713</v>
      </c>
      <c r="D669" s="17">
        <v>600</v>
      </c>
      <c r="E669" s="120">
        <v>1060</v>
      </c>
      <c r="F669" s="58">
        <v>0</v>
      </c>
      <c r="G669" s="58">
        <v>0</v>
      </c>
    </row>
    <row r="670" spans="1:7" s="155" customFormat="1" x14ac:dyDescent="0.25">
      <c r="A670" s="114" t="s">
        <v>22</v>
      </c>
      <c r="B670" s="15" t="s">
        <v>321</v>
      </c>
      <c r="C670" s="144" t="s">
        <v>713</v>
      </c>
      <c r="D670" s="17">
        <v>800</v>
      </c>
      <c r="E670" s="120">
        <v>1011.6</v>
      </c>
      <c r="F670" s="58">
        <v>0</v>
      </c>
      <c r="G670" s="58">
        <v>0</v>
      </c>
    </row>
    <row r="671" spans="1:7" ht="30" x14ac:dyDescent="0.25">
      <c r="A671" s="114" t="s">
        <v>500</v>
      </c>
      <c r="B671" s="15" t="s">
        <v>321</v>
      </c>
      <c r="C671" s="118" t="s">
        <v>312</v>
      </c>
      <c r="D671" s="17"/>
      <c r="E671" s="58">
        <f>E672+E681</f>
        <v>241363.1</v>
      </c>
      <c r="F671" s="58">
        <f>F672+F681</f>
        <v>203336.5</v>
      </c>
      <c r="G671" s="58">
        <f>G672+G681</f>
        <v>213305.1</v>
      </c>
    </row>
    <row r="672" spans="1:7" x14ac:dyDescent="0.25">
      <c r="A672" s="1" t="s">
        <v>581</v>
      </c>
      <c r="B672" s="15" t="s">
        <v>321</v>
      </c>
      <c r="C672" s="108" t="s">
        <v>322</v>
      </c>
      <c r="D672" s="17"/>
      <c r="E672" s="58">
        <f>E673+E678+E676</f>
        <v>61023.499999999993</v>
      </c>
      <c r="F672" s="58">
        <f t="shared" ref="F672:G672" si="248">F673+F678+F676</f>
        <v>51459.7</v>
      </c>
      <c r="G672" s="58">
        <f t="shared" si="248"/>
        <v>53305.599999999999</v>
      </c>
    </row>
    <row r="673" spans="1:7" x14ac:dyDescent="0.25">
      <c r="A673" s="1" t="s">
        <v>323</v>
      </c>
      <c r="B673" s="15" t="s">
        <v>321</v>
      </c>
      <c r="C673" s="108" t="s">
        <v>324</v>
      </c>
      <c r="D673" s="17"/>
      <c r="E673" s="58">
        <f>E674</f>
        <v>55488.499999999993</v>
      </c>
      <c r="F673" s="58">
        <f t="shared" ref="F673:G673" si="249">F674</f>
        <v>51459.7</v>
      </c>
      <c r="G673" s="58">
        <f t="shared" si="249"/>
        <v>53305.599999999999</v>
      </c>
    </row>
    <row r="674" spans="1:7" ht="30" x14ac:dyDescent="0.25">
      <c r="A674" s="114" t="s">
        <v>51</v>
      </c>
      <c r="B674" s="15" t="s">
        <v>321</v>
      </c>
      <c r="C674" s="108" t="s">
        <v>325</v>
      </c>
      <c r="D674" s="17"/>
      <c r="E674" s="58">
        <f>E675</f>
        <v>55488.499999999993</v>
      </c>
      <c r="F674" s="58">
        <f t="shared" ref="F674:G674" si="250">F675</f>
        <v>51459.7</v>
      </c>
      <c r="G674" s="58">
        <f t="shared" si="250"/>
        <v>53305.599999999999</v>
      </c>
    </row>
    <row r="675" spans="1:7" ht="30" x14ac:dyDescent="0.25">
      <c r="A675" s="1" t="s">
        <v>56</v>
      </c>
      <c r="B675" s="15" t="s">
        <v>321</v>
      </c>
      <c r="C675" s="108" t="s">
        <v>325</v>
      </c>
      <c r="D675" s="17">
        <v>600</v>
      </c>
      <c r="E675" s="20">
        <f>50217.7+1455+1192.2+500+2023.5+100+0.1</f>
        <v>55488.499999999993</v>
      </c>
      <c r="F675" s="20">
        <v>51459.7</v>
      </c>
      <c r="G675" s="20">
        <v>53305.599999999999</v>
      </c>
    </row>
    <row r="676" spans="1:7" ht="30" x14ac:dyDescent="0.25">
      <c r="A676" s="149" t="s">
        <v>673</v>
      </c>
      <c r="B676" s="153" t="s">
        <v>321</v>
      </c>
      <c r="C676" s="150" t="s">
        <v>678</v>
      </c>
      <c r="D676" s="150"/>
      <c r="E676" s="152">
        <f>E677</f>
        <v>535</v>
      </c>
      <c r="F676" s="152">
        <f t="shared" ref="F676:G676" si="251">F677</f>
        <v>0</v>
      </c>
      <c r="G676" s="152">
        <f t="shared" si="251"/>
        <v>0</v>
      </c>
    </row>
    <row r="677" spans="1:7" ht="30" x14ac:dyDescent="0.25">
      <c r="A677" s="142" t="s">
        <v>56</v>
      </c>
      <c r="B677" s="153" t="s">
        <v>321</v>
      </c>
      <c r="C677" s="150" t="s">
        <v>678</v>
      </c>
      <c r="D677" s="150" t="s">
        <v>272</v>
      </c>
      <c r="E677" s="152">
        <v>535</v>
      </c>
      <c r="F677" s="152"/>
      <c r="G677" s="152"/>
    </row>
    <row r="678" spans="1:7" s="155" customFormat="1" x14ac:dyDescent="0.25">
      <c r="A678" s="65" t="s">
        <v>725</v>
      </c>
      <c r="B678" s="15" t="s">
        <v>321</v>
      </c>
      <c r="C678" s="158" t="s">
        <v>726</v>
      </c>
      <c r="D678" s="150"/>
      <c r="E678" s="152">
        <f>E679</f>
        <v>5000</v>
      </c>
      <c r="F678" s="152">
        <f t="shared" ref="F678:G678" si="252">F679</f>
        <v>0</v>
      </c>
      <c r="G678" s="152">
        <f t="shared" si="252"/>
        <v>0</v>
      </c>
    </row>
    <row r="679" spans="1:7" ht="30" x14ac:dyDescent="0.25">
      <c r="A679" s="65" t="s">
        <v>501</v>
      </c>
      <c r="B679" s="15" t="s">
        <v>321</v>
      </c>
      <c r="C679" s="108" t="s">
        <v>502</v>
      </c>
      <c r="D679" s="17"/>
      <c r="E679" s="120">
        <f>E680</f>
        <v>5000</v>
      </c>
      <c r="F679" s="120">
        <f t="shared" ref="F679:G679" si="253">F680</f>
        <v>0</v>
      </c>
      <c r="G679" s="120">
        <f t="shared" si="253"/>
        <v>0</v>
      </c>
    </row>
    <row r="680" spans="1:7" ht="30" x14ac:dyDescent="0.25">
      <c r="A680" s="65" t="s">
        <v>56</v>
      </c>
      <c r="B680" s="15" t="s">
        <v>321</v>
      </c>
      <c r="C680" s="108" t="s">
        <v>502</v>
      </c>
      <c r="D680" s="17">
        <v>600</v>
      </c>
      <c r="E680" s="120">
        <f>500+5000-500</f>
        <v>5000</v>
      </c>
      <c r="F680" s="20">
        <v>0</v>
      </c>
      <c r="G680" s="20">
        <v>0</v>
      </c>
    </row>
    <row r="681" spans="1:7" ht="30" x14ac:dyDescent="0.25">
      <c r="A681" s="1" t="s">
        <v>326</v>
      </c>
      <c r="B681" s="15" t="s">
        <v>321</v>
      </c>
      <c r="C681" s="108" t="s">
        <v>327</v>
      </c>
      <c r="D681" s="16"/>
      <c r="E681" s="58">
        <f>SUM(E682)</f>
        <v>180339.6</v>
      </c>
      <c r="F681" s="58">
        <f t="shared" ref="F681:G687" si="254">SUM(F682)</f>
        <v>151876.79999999999</v>
      </c>
      <c r="G681" s="58">
        <f t="shared" si="254"/>
        <v>159999.5</v>
      </c>
    </row>
    <row r="682" spans="1:7" ht="30" x14ac:dyDescent="0.25">
      <c r="A682" s="1" t="s">
        <v>328</v>
      </c>
      <c r="B682" s="15" t="s">
        <v>321</v>
      </c>
      <c r="C682" s="108" t="s">
        <v>329</v>
      </c>
      <c r="D682" s="16"/>
      <c r="E682" s="58">
        <f>SUM(E687)+E683+E685+E689</f>
        <v>180339.6</v>
      </c>
      <c r="F682" s="58">
        <f t="shared" ref="F682:G682" si="255">SUM(F687)+F683+F685</f>
        <v>151876.79999999999</v>
      </c>
      <c r="G682" s="58">
        <f t="shared" si="255"/>
        <v>159999.5</v>
      </c>
    </row>
    <row r="683" spans="1:7" ht="45" x14ac:dyDescent="0.25">
      <c r="A683" s="88" t="s">
        <v>560</v>
      </c>
      <c r="B683" s="73" t="s">
        <v>321</v>
      </c>
      <c r="C683" s="73" t="s">
        <v>550</v>
      </c>
      <c r="D683" s="15"/>
      <c r="E683" s="58">
        <f>E684</f>
        <v>468.79999999999995</v>
      </c>
      <c r="F683" s="58">
        <f t="shared" ref="F683:G683" si="256">F684</f>
        <v>464</v>
      </c>
      <c r="G683" s="58">
        <f t="shared" si="256"/>
        <v>1955</v>
      </c>
    </row>
    <row r="684" spans="1:7" ht="30" x14ac:dyDescent="0.25">
      <c r="A684" s="65" t="s">
        <v>56</v>
      </c>
      <c r="B684" s="73" t="s">
        <v>321</v>
      </c>
      <c r="C684" s="73" t="s">
        <v>550</v>
      </c>
      <c r="D684" s="15" t="s">
        <v>272</v>
      </c>
      <c r="E684" s="58">
        <f>39.4+429.4</f>
        <v>468.79999999999995</v>
      </c>
      <c r="F684" s="58">
        <f>46.1+417.9</f>
        <v>464</v>
      </c>
      <c r="G684" s="58">
        <f>103.7+1851.3</f>
        <v>1955</v>
      </c>
    </row>
    <row r="685" spans="1:7" ht="30" x14ac:dyDescent="0.25">
      <c r="A685" s="65" t="s">
        <v>558</v>
      </c>
      <c r="B685" s="15" t="s">
        <v>321</v>
      </c>
      <c r="C685" s="16" t="s">
        <v>551</v>
      </c>
      <c r="D685" s="17"/>
      <c r="E685" s="58">
        <f>E686</f>
        <v>424.59999999999997</v>
      </c>
      <c r="F685" s="58">
        <f t="shared" ref="F685:G685" si="257">F686</f>
        <v>0</v>
      </c>
      <c r="G685" s="58">
        <f t="shared" si="257"/>
        <v>0</v>
      </c>
    </row>
    <row r="686" spans="1:7" ht="30" x14ac:dyDescent="0.25">
      <c r="A686" s="65" t="s">
        <v>56</v>
      </c>
      <c r="B686" s="15" t="s">
        <v>321</v>
      </c>
      <c r="C686" s="16" t="s">
        <v>551</v>
      </c>
      <c r="D686" s="17">
        <v>600</v>
      </c>
      <c r="E686" s="58">
        <f>113.2+311.4</f>
        <v>424.59999999999997</v>
      </c>
      <c r="F686" s="58">
        <v>0</v>
      </c>
      <c r="G686" s="58">
        <v>0</v>
      </c>
    </row>
    <row r="687" spans="1:7" ht="30" x14ac:dyDescent="0.25">
      <c r="A687" s="114" t="s">
        <v>51</v>
      </c>
      <c r="B687" s="15" t="s">
        <v>321</v>
      </c>
      <c r="C687" s="16" t="s">
        <v>330</v>
      </c>
      <c r="D687" s="16"/>
      <c r="E687" s="58">
        <f>SUM(E688)</f>
        <v>174998.2</v>
      </c>
      <c r="F687" s="58">
        <f t="shared" si="254"/>
        <v>151412.79999999999</v>
      </c>
      <c r="G687" s="58">
        <f t="shared" si="254"/>
        <v>158044.5</v>
      </c>
    </row>
    <row r="688" spans="1:7" ht="30" x14ac:dyDescent="0.25">
      <c r="A688" s="1" t="s">
        <v>56</v>
      </c>
      <c r="B688" s="15" t="s">
        <v>321</v>
      </c>
      <c r="C688" s="16" t="s">
        <v>330</v>
      </c>
      <c r="D688" s="17">
        <v>600</v>
      </c>
      <c r="E688" s="120">
        <f>161659.7+11771.1+2309.3+4817.7-4500-2023.5+2463-1909.1+410</f>
        <v>174998.2</v>
      </c>
      <c r="F688" s="120">
        <f>153072.4-1659.6</f>
        <v>151412.79999999999</v>
      </c>
      <c r="G688" s="120">
        <v>158044.5</v>
      </c>
    </row>
    <row r="689" spans="1:7" ht="30" x14ac:dyDescent="0.25">
      <c r="A689" s="149" t="s">
        <v>673</v>
      </c>
      <c r="B689" s="15" t="s">
        <v>321</v>
      </c>
      <c r="C689" s="16" t="s">
        <v>688</v>
      </c>
      <c r="D689" s="17"/>
      <c r="E689" s="120">
        <f>SUM(E690)</f>
        <v>4448</v>
      </c>
      <c r="F689" s="120"/>
      <c r="G689" s="120"/>
    </row>
    <row r="690" spans="1:7" ht="30" x14ac:dyDescent="0.25">
      <c r="A690" s="142" t="s">
        <v>56</v>
      </c>
      <c r="B690" s="15" t="s">
        <v>321</v>
      </c>
      <c r="C690" s="16" t="s">
        <v>688</v>
      </c>
      <c r="D690" s="17">
        <v>600</v>
      </c>
      <c r="E690" s="120">
        <v>4448</v>
      </c>
      <c r="F690" s="120"/>
      <c r="G690" s="120"/>
    </row>
    <row r="691" spans="1:7" x14ac:dyDescent="0.25">
      <c r="A691" s="9" t="s">
        <v>331</v>
      </c>
      <c r="B691" s="10" t="s">
        <v>332</v>
      </c>
      <c r="C691" s="14"/>
      <c r="D691" s="14"/>
      <c r="E691" s="12">
        <f>SUM(E692)</f>
        <v>57317.7</v>
      </c>
      <c r="F691" s="12">
        <f t="shared" ref="F691:G691" si="258">SUM(F692)</f>
        <v>51596.800000000003</v>
      </c>
      <c r="G691" s="12">
        <f t="shared" si="258"/>
        <v>53508.7</v>
      </c>
    </row>
    <row r="692" spans="1:7" ht="30" x14ac:dyDescent="0.25">
      <c r="A692" s="114" t="s">
        <v>503</v>
      </c>
      <c r="B692" s="15" t="s">
        <v>332</v>
      </c>
      <c r="C692" s="118" t="s">
        <v>312</v>
      </c>
      <c r="D692" s="16"/>
      <c r="E692" s="58">
        <f>E693+E698</f>
        <v>57317.7</v>
      </c>
      <c r="F692" s="58">
        <f>F693+F698</f>
        <v>51596.800000000003</v>
      </c>
      <c r="G692" s="58">
        <f>G693+G698</f>
        <v>53508.7</v>
      </c>
    </row>
    <row r="693" spans="1:7" x14ac:dyDescent="0.25">
      <c r="A693" s="77" t="s">
        <v>333</v>
      </c>
      <c r="B693" s="73" t="s">
        <v>332</v>
      </c>
      <c r="C693" s="73" t="s">
        <v>334</v>
      </c>
      <c r="D693" s="16"/>
      <c r="E693" s="20">
        <f>SUM(E694)</f>
        <v>3410.7999999999997</v>
      </c>
      <c r="F693" s="20">
        <f t="shared" ref="F693:G694" si="259">SUM(F694)</f>
        <v>698</v>
      </c>
      <c r="G693" s="20">
        <f t="shared" si="259"/>
        <v>698</v>
      </c>
    </row>
    <row r="694" spans="1:7" ht="30" x14ac:dyDescent="0.25">
      <c r="A694" s="77" t="s">
        <v>335</v>
      </c>
      <c r="B694" s="73" t="s">
        <v>332</v>
      </c>
      <c r="C694" s="73" t="s">
        <v>336</v>
      </c>
      <c r="D694" s="16"/>
      <c r="E694" s="20">
        <f>SUM(E695)</f>
        <v>3410.7999999999997</v>
      </c>
      <c r="F694" s="20">
        <f t="shared" si="259"/>
        <v>698</v>
      </c>
      <c r="G694" s="20">
        <f t="shared" si="259"/>
        <v>698</v>
      </c>
    </row>
    <row r="695" spans="1:7" x14ac:dyDescent="0.25">
      <c r="A695" s="1" t="s">
        <v>337</v>
      </c>
      <c r="B695" s="73" t="s">
        <v>332</v>
      </c>
      <c r="C695" s="73" t="s">
        <v>338</v>
      </c>
      <c r="D695" s="73"/>
      <c r="E695" s="20">
        <f>SUM(E696:E697)</f>
        <v>3410.7999999999997</v>
      </c>
      <c r="F695" s="20">
        <f t="shared" ref="F695:G695" si="260">SUM(F696:F697)</f>
        <v>698</v>
      </c>
      <c r="G695" s="20">
        <f t="shared" si="260"/>
        <v>698</v>
      </c>
    </row>
    <row r="696" spans="1:7" ht="30" x14ac:dyDescent="0.25">
      <c r="A696" s="1" t="s">
        <v>21</v>
      </c>
      <c r="B696" s="73" t="s">
        <v>332</v>
      </c>
      <c r="C696" s="73" t="s">
        <v>338</v>
      </c>
      <c r="D696" s="16" t="s">
        <v>48</v>
      </c>
      <c r="E696" s="120">
        <f>3468-476.8-57.2+0.1</f>
        <v>2934.1</v>
      </c>
      <c r="F696" s="120">
        <v>698</v>
      </c>
      <c r="G696" s="120">
        <v>698</v>
      </c>
    </row>
    <row r="697" spans="1:7" ht="30" x14ac:dyDescent="0.25">
      <c r="A697" s="65" t="s">
        <v>56</v>
      </c>
      <c r="B697" s="122" t="s">
        <v>332</v>
      </c>
      <c r="C697" s="122" t="s">
        <v>338</v>
      </c>
      <c r="D697" s="122" t="s">
        <v>272</v>
      </c>
      <c r="E697" s="120">
        <f>476.8-0.1</f>
        <v>476.7</v>
      </c>
      <c r="F697" s="120"/>
      <c r="G697" s="120"/>
    </row>
    <row r="698" spans="1:7" ht="45" x14ac:dyDescent="0.25">
      <c r="A698" s="65" t="s">
        <v>504</v>
      </c>
      <c r="B698" s="15" t="s">
        <v>321</v>
      </c>
      <c r="C698" s="16" t="s">
        <v>339</v>
      </c>
      <c r="D698" s="17"/>
      <c r="E698" s="58">
        <f>E699+E705</f>
        <v>53906.899999999994</v>
      </c>
      <c r="F698" s="58">
        <f>F699+F705</f>
        <v>50898.8</v>
      </c>
      <c r="G698" s="58">
        <f>G699+G705</f>
        <v>52810.7</v>
      </c>
    </row>
    <row r="699" spans="1:7" x14ac:dyDescent="0.25">
      <c r="A699" s="1" t="s">
        <v>340</v>
      </c>
      <c r="B699" s="15" t="s">
        <v>332</v>
      </c>
      <c r="C699" s="16" t="s">
        <v>341</v>
      </c>
      <c r="D699" s="16"/>
      <c r="E699" s="20">
        <f>SUM(E700+E703)</f>
        <v>49890.899999999994</v>
      </c>
      <c r="F699" s="20">
        <f>SUM(F700+F703)</f>
        <v>49085.3</v>
      </c>
      <c r="G699" s="20">
        <f>SUM(G700+G703)</f>
        <v>50997.2</v>
      </c>
    </row>
    <row r="700" spans="1:7" ht="30" x14ac:dyDescent="0.25">
      <c r="A700" s="61" t="s">
        <v>42</v>
      </c>
      <c r="B700" s="15" t="s">
        <v>332</v>
      </c>
      <c r="C700" s="16" t="s">
        <v>342</v>
      </c>
      <c r="D700" s="16"/>
      <c r="E700" s="20">
        <f>SUM(E701:E702)</f>
        <v>9118.7000000000007</v>
      </c>
      <c r="F700" s="20">
        <f>SUM(F701:F702)</f>
        <v>8010.8</v>
      </c>
      <c r="G700" s="20">
        <f>SUM(G701:G702)</f>
        <v>8313</v>
      </c>
    </row>
    <row r="701" spans="1:7" ht="60" x14ac:dyDescent="0.25">
      <c r="A701" s="1" t="s">
        <v>14</v>
      </c>
      <c r="B701" s="15" t="s">
        <v>332</v>
      </c>
      <c r="C701" s="16" t="s">
        <v>342</v>
      </c>
      <c r="D701" s="16" t="s">
        <v>47</v>
      </c>
      <c r="E701" s="120">
        <f>7312.6+1388.2</f>
        <v>8700.8000000000011</v>
      </c>
      <c r="F701" s="120">
        <v>7607.3</v>
      </c>
      <c r="G701" s="120">
        <v>7909.5</v>
      </c>
    </row>
    <row r="702" spans="1:7" ht="30" x14ac:dyDescent="0.25">
      <c r="A702" s="1" t="s">
        <v>21</v>
      </c>
      <c r="B702" s="15" t="s">
        <v>332</v>
      </c>
      <c r="C702" s="16" t="s">
        <v>342</v>
      </c>
      <c r="D702" s="16" t="s">
        <v>48</v>
      </c>
      <c r="E702" s="120">
        <v>417.9</v>
      </c>
      <c r="F702" s="120">
        <v>403.5</v>
      </c>
      <c r="G702" s="120">
        <v>403.5</v>
      </c>
    </row>
    <row r="703" spans="1:7" ht="30" x14ac:dyDescent="0.25">
      <c r="A703" s="60" t="s">
        <v>51</v>
      </c>
      <c r="B703" s="15" t="s">
        <v>332</v>
      </c>
      <c r="C703" s="16" t="s">
        <v>516</v>
      </c>
      <c r="D703" s="16"/>
      <c r="E703" s="20">
        <f>E704</f>
        <v>40772.199999999997</v>
      </c>
      <c r="F703" s="20">
        <f t="shared" ref="F703:G703" si="261">F704</f>
        <v>41074.5</v>
      </c>
      <c r="G703" s="20">
        <f t="shared" si="261"/>
        <v>42684.2</v>
      </c>
    </row>
    <row r="704" spans="1:7" ht="30" x14ac:dyDescent="0.25">
      <c r="A704" s="1" t="s">
        <v>56</v>
      </c>
      <c r="B704" s="15" t="s">
        <v>332</v>
      </c>
      <c r="C704" s="16" t="s">
        <v>516</v>
      </c>
      <c r="D704" s="16" t="s">
        <v>272</v>
      </c>
      <c r="E704" s="120">
        <f>39583.1+1939.1-750</f>
        <v>40772.199999999997</v>
      </c>
      <c r="F704" s="120">
        <v>41074.5</v>
      </c>
      <c r="G704" s="120">
        <v>42684.2</v>
      </c>
    </row>
    <row r="705" spans="1:7" ht="30" x14ac:dyDescent="0.25">
      <c r="A705" s="1" t="s">
        <v>343</v>
      </c>
      <c r="B705" s="15" t="s">
        <v>332</v>
      </c>
      <c r="C705" s="16" t="s">
        <v>344</v>
      </c>
      <c r="D705" s="16"/>
      <c r="E705" s="20">
        <f>E706</f>
        <v>4016</v>
      </c>
      <c r="F705" s="20">
        <f t="shared" ref="F705:G705" si="262">F706</f>
        <v>1813.5</v>
      </c>
      <c r="G705" s="20">
        <f t="shared" si="262"/>
        <v>1813.5</v>
      </c>
    </row>
    <row r="706" spans="1:7" ht="30" x14ac:dyDescent="0.25">
      <c r="A706" s="60" t="s">
        <v>345</v>
      </c>
      <c r="B706" s="15" t="s">
        <v>332</v>
      </c>
      <c r="C706" s="16" t="s">
        <v>346</v>
      </c>
      <c r="D706" s="17"/>
      <c r="E706" s="20">
        <f>SUM(E707:E708)</f>
        <v>4016</v>
      </c>
      <c r="F706" s="20">
        <f t="shared" ref="F706:G706" si="263">SUM(F707:F708)</f>
        <v>1813.5</v>
      </c>
      <c r="G706" s="20">
        <f t="shared" si="263"/>
        <v>1813.5</v>
      </c>
    </row>
    <row r="707" spans="1:7" x14ac:dyDescent="0.25">
      <c r="A707" s="1" t="s">
        <v>29</v>
      </c>
      <c r="B707" s="15" t="s">
        <v>332</v>
      </c>
      <c r="C707" s="16" t="s">
        <v>346</v>
      </c>
      <c r="D707" s="17">
        <v>300</v>
      </c>
      <c r="E707" s="120">
        <v>516</v>
      </c>
      <c r="F707" s="120">
        <v>516</v>
      </c>
      <c r="G707" s="120">
        <v>516</v>
      </c>
    </row>
    <row r="708" spans="1:7" ht="30" x14ac:dyDescent="0.25">
      <c r="A708" s="1" t="s">
        <v>56</v>
      </c>
      <c r="B708" s="15" t="s">
        <v>332</v>
      </c>
      <c r="C708" s="16" t="s">
        <v>346</v>
      </c>
      <c r="D708" s="17">
        <v>600</v>
      </c>
      <c r="E708" s="120">
        <v>3500</v>
      </c>
      <c r="F708" s="120">
        <v>1297.5</v>
      </c>
      <c r="G708" s="120">
        <v>1297.5</v>
      </c>
    </row>
    <row r="709" spans="1:7" x14ac:dyDescent="0.25">
      <c r="A709" s="9" t="s">
        <v>30</v>
      </c>
      <c r="B709" s="10" t="s">
        <v>31</v>
      </c>
      <c r="C709" s="14"/>
      <c r="D709" s="11"/>
      <c r="E709" s="12">
        <f>SUM(E710+E714)+E746</f>
        <v>238056.50000000006</v>
      </c>
      <c r="F709" s="12">
        <f>SUM(F710+F714)+F746</f>
        <v>306006.59999999998</v>
      </c>
      <c r="G709" s="12">
        <f>SUM(G710+G714)+G746</f>
        <v>306115</v>
      </c>
    </row>
    <row r="710" spans="1:7" x14ac:dyDescent="0.25">
      <c r="A710" s="9" t="s">
        <v>159</v>
      </c>
      <c r="B710" s="10" t="s">
        <v>160</v>
      </c>
      <c r="C710" s="14"/>
      <c r="D710" s="11"/>
      <c r="E710" s="12">
        <f>E711</f>
        <v>9567.3000000000011</v>
      </c>
      <c r="F710" s="12">
        <f t="shared" ref="F710:G712" si="264">F711</f>
        <v>9255.1</v>
      </c>
      <c r="G710" s="12">
        <f t="shared" si="264"/>
        <v>9255.1</v>
      </c>
    </row>
    <row r="711" spans="1:7" x14ac:dyDescent="0.25">
      <c r="A711" s="1" t="s">
        <v>10</v>
      </c>
      <c r="B711" s="15" t="s">
        <v>160</v>
      </c>
      <c r="C711" s="16" t="s">
        <v>11</v>
      </c>
      <c r="D711" s="17"/>
      <c r="E711" s="58">
        <f>E712</f>
        <v>9567.3000000000011</v>
      </c>
      <c r="F711" s="58">
        <f t="shared" si="264"/>
        <v>9255.1</v>
      </c>
      <c r="G711" s="58">
        <f t="shared" si="264"/>
        <v>9255.1</v>
      </c>
    </row>
    <row r="712" spans="1:7" x14ac:dyDescent="0.25">
      <c r="A712" s="1" t="s">
        <v>161</v>
      </c>
      <c r="B712" s="15" t="s">
        <v>160</v>
      </c>
      <c r="C712" s="16" t="s">
        <v>162</v>
      </c>
      <c r="D712" s="17"/>
      <c r="E712" s="58">
        <f>E713</f>
        <v>9567.3000000000011</v>
      </c>
      <c r="F712" s="58">
        <f t="shared" si="264"/>
        <v>9255.1</v>
      </c>
      <c r="G712" s="58">
        <f t="shared" si="264"/>
        <v>9255.1</v>
      </c>
    </row>
    <row r="713" spans="1:7" x14ac:dyDescent="0.25">
      <c r="A713" s="1" t="s">
        <v>29</v>
      </c>
      <c r="B713" s="15" t="s">
        <v>160</v>
      </c>
      <c r="C713" s="16" t="s">
        <v>162</v>
      </c>
      <c r="D713" s="17">
        <v>300</v>
      </c>
      <c r="E713" s="120">
        <f>9255.1+300+12.2</f>
        <v>9567.3000000000011</v>
      </c>
      <c r="F713" s="120">
        <v>9255.1</v>
      </c>
      <c r="G713" s="120">
        <v>9255.1</v>
      </c>
    </row>
    <row r="714" spans="1:7" x14ac:dyDescent="0.25">
      <c r="A714" s="9" t="s">
        <v>32</v>
      </c>
      <c r="B714" s="10" t="s">
        <v>33</v>
      </c>
      <c r="C714" s="14"/>
      <c r="D714" s="11"/>
      <c r="E714" s="12">
        <f>SUM(E715)+E733</f>
        <v>60007.5</v>
      </c>
      <c r="F714" s="12">
        <f t="shared" ref="F714:G714" si="265">SUM(F715)+F733</f>
        <v>40927.199999999997</v>
      </c>
      <c r="G714" s="12">
        <f t="shared" si="265"/>
        <v>41678.899999999994</v>
      </c>
    </row>
    <row r="715" spans="1:7" x14ac:dyDescent="0.25">
      <c r="A715" s="1" t="s">
        <v>10</v>
      </c>
      <c r="B715" s="15" t="s">
        <v>33</v>
      </c>
      <c r="C715" s="16" t="s">
        <v>11</v>
      </c>
      <c r="D715" s="17"/>
      <c r="E715" s="58">
        <f>E719+E721+E723+E725+E727+E729+E716+E731</f>
        <v>15169.2</v>
      </c>
      <c r="F715" s="58">
        <f t="shared" ref="F715:G715" si="266">F719+F721+F723+F725+F727+F729+F716+F731</f>
        <v>8402.7999999999993</v>
      </c>
      <c r="G715" s="58">
        <f t="shared" si="266"/>
        <v>8915.5999999999985</v>
      </c>
    </row>
    <row r="716" spans="1:7" ht="30" x14ac:dyDescent="0.25">
      <c r="A716" s="65" t="s">
        <v>606</v>
      </c>
      <c r="B716" s="15" t="s">
        <v>33</v>
      </c>
      <c r="C716" s="16" t="s">
        <v>607</v>
      </c>
      <c r="D716" s="17"/>
      <c r="E716" s="58">
        <f>E718+E717</f>
        <v>3890.7</v>
      </c>
      <c r="F716" s="58">
        <f t="shared" ref="F716:G716" si="267">F718+F717</f>
        <v>0</v>
      </c>
      <c r="G716" s="58">
        <f t="shared" si="267"/>
        <v>0</v>
      </c>
    </row>
    <row r="717" spans="1:7" ht="30" x14ac:dyDescent="0.25">
      <c r="A717" s="65" t="s">
        <v>21</v>
      </c>
      <c r="B717" s="15" t="s">
        <v>33</v>
      </c>
      <c r="C717" s="144" t="s">
        <v>607</v>
      </c>
      <c r="D717" s="17">
        <v>200</v>
      </c>
      <c r="E717" s="58">
        <f>3310.7-3310.7</f>
        <v>0</v>
      </c>
      <c r="F717" s="58">
        <v>0</v>
      </c>
      <c r="G717" s="58">
        <v>0</v>
      </c>
    </row>
    <row r="718" spans="1:7" x14ac:dyDescent="0.25">
      <c r="A718" s="1" t="s">
        <v>29</v>
      </c>
      <c r="B718" s="15" t="s">
        <v>33</v>
      </c>
      <c r="C718" s="16" t="s">
        <v>607</v>
      </c>
      <c r="D718" s="17">
        <v>300</v>
      </c>
      <c r="E718" s="58">
        <f>10+70+90+3720.7</f>
        <v>3890.7</v>
      </c>
      <c r="F718" s="58">
        <v>0</v>
      </c>
      <c r="G718" s="58">
        <v>0</v>
      </c>
    </row>
    <row r="719" spans="1:7" ht="30" x14ac:dyDescent="0.25">
      <c r="A719" s="1" t="s">
        <v>163</v>
      </c>
      <c r="B719" s="15" t="s">
        <v>33</v>
      </c>
      <c r="C719" s="16" t="s">
        <v>164</v>
      </c>
      <c r="D719" s="17"/>
      <c r="E719" s="58">
        <f>E720</f>
        <v>1752.8</v>
      </c>
      <c r="F719" s="58">
        <f>F720</f>
        <v>2013.3</v>
      </c>
      <c r="G719" s="58">
        <f>G720</f>
        <v>2181.1999999999998</v>
      </c>
    </row>
    <row r="720" spans="1:7" x14ac:dyDescent="0.25">
      <c r="A720" s="1" t="s">
        <v>29</v>
      </c>
      <c r="B720" s="15" t="s">
        <v>33</v>
      </c>
      <c r="C720" s="16" t="s">
        <v>164</v>
      </c>
      <c r="D720" s="17">
        <v>300</v>
      </c>
      <c r="E720" s="120">
        <f>1845.2-92.4</f>
        <v>1752.8</v>
      </c>
      <c r="F720" s="120">
        <v>2013.3</v>
      </c>
      <c r="G720" s="120">
        <v>2181.1999999999998</v>
      </c>
    </row>
    <row r="721" spans="1:7" ht="30" x14ac:dyDescent="0.25">
      <c r="A721" s="1" t="s">
        <v>165</v>
      </c>
      <c r="B721" s="15" t="s">
        <v>33</v>
      </c>
      <c r="C721" s="16" t="s">
        <v>166</v>
      </c>
      <c r="D721" s="17"/>
      <c r="E721" s="58">
        <f>E722</f>
        <v>2563.1999999999998</v>
      </c>
      <c r="F721" s="58">
        <f>F722</f>
        <v>3672.3</v>
      </c>
      <c r="G721" s="58">
        <f>G722</f>
        <v>4017.2</v>
      </c>
    </row>
    <row r="722" spans="1:7" x14ac:dyDescent="0.25">
      <c r="A722" s="1" t="s">
        <v>29</v>
      </c>
      <c r="B722" s="15" t="s">
        <v>33</v>
      </c>
      <c r="C722" s="16" t="s">
        <v>166</v>
      </c>
      <c r="D722" s="17">
        <v>300</v>
      </c>
      <c r="E722" s="120">
        <f>2982.7-200-219.5</f>
        <v>2563.1999999999998</v>
      </c>
      <c r="F722" s="120">
        <v>3672.3</v>
      </c>
      <c r="G722" s="120">
        <v>4017.2</v>
      </c>
    </row>
    <row r="723" spans="1:7" ht="30" x14ac:dyDescent="0.25">
      <c r="A723" s="114" t="s">
        <v>34</v>
      </c>
      <c r="B723" s="15" t="s">
        <v>33</v>
      </c>
      <c r="C723" s="16" t="s">
        <v>35</v>
      </c>
      <c r="D723" s="17"/>
      <c r="E723" s="58">
        <f>E724</f>
        <v>57.5</v>
      </c>
      <c r="F723" s="58">
        <f>F724</f>
        <v>287.5</v>
      </c>
      <c r="G723" s="58">
        <f>G724</f>
        <v>287.5</v>
      </c>
    </row>
    <row r="724" spans="1:7" x14ac:dyDescent="0.25">
      <c r="A724" s="1" t="s">
        <v>29</v>
      </c>
      <c r="B724" s="15" t="s">
        <v>33</v>
      </c>
      <c r="C724" s="16" t="s">
        <v>35</v>
      </c>
      <c r="D724" s="17">
        <v>300</v>
      </c>
      <c r="E724" s="120">
        <f>287.5-230</f>
        <v>57.5</v>
      </c>
      <c r="F724" s="120">
        <v>287.5</v>
      </c>
      <c r="G724" s="120">
        <v>287.5</v>
      </c>
    </row>
    <row r="725" spans="1:7" x14ac:dyDescent="0.25">
      <c r="A725" s="1" t="s">
        <v>167</v>
      </c>
      <c r="B725" s="15" t="s">
        <v>33</v>
      </c>
      <c r="C725" s="16" t="s">
        <v>168</v>
      </c>
      <c r="D725" s="17"/>
      <c r="E725" s="58">
        <f>E726</f>
        <v>1800</v>
      </c>
      <c r="F725" s="58">
        <f>F726</f>
        <v>931.9</v>
      </c>
      <c r="G725" s="58">
        <f>G726</f>
        <v>931.9</v>
      </c>
    </row>
    <row r="726" spans="1:7" ht="30" x14ac:dyDescent="0.25">
      <c r="A726" s="1" t="s">
        <v>56</v>
      </c>
      <c r="B726" s="15" t="s">
        <v>33</v>
      </c>
      <c r="C726" s="16" t="s">
        <v>168</v>
      </c>
      <c r="D726" s="17">
        <v>600</v>
      </c>
      <c r="E726" s="120">
        <f>1500+300</f>
        <v>1800</v>
      </c>
      <c r="F726" s="120">
        <v>931.9</v>
      </c>
      <c r="G726" s="120">
        <v>931.9</v>
      </c>
    </row>
    <row r="727" spans="1:7" x14ac:dyDescent="0.25">
      <c r="A727" s="1" t="s">
        <v>169</v>
      </c>
      <c r="B727" s="15" t="s">
        <v>33</v>
      </c>
      <c r="C727" s="16" t="s">
        <v>170</v>
      </c>
      <c r="D727" s="17"/>
      <c r="E727" s="58">
        <f>E728</f>
        <v>4200</v>
      </c>
      <c r="F727" s="58">
        <f>F728</f>
        <v>1397.8</v>
      </c>
      <c r="G727" s="58">
        <f>G728</f>
        <v>1397.8</v>
      </c>
    </row>
    <row r="728" spans="1:7" ht="30" x14ac:dyDescent="0.25">
      <c r="A728" s="1" t="s">
        <v>56</v>
      </c>
      <c r="B728" s="15" t="s">
        <v>33</v>
      </c>
      <c r="C728" s="16" t="s">
        <v>170</v>
      </c>
      <c r="D728" s="17">
        <v>600</v>
      </c>
      <c r="E728" s="120">
        <f>4500-300</f>
        <v>4200</v>
      </c>
      <c r="F728" s="120">
        <v>1397.8</v>
      </c>
      <c r="G728" s="120">
        <v>1397.8</v>
      </c>
    </row>
    <row r="729" spans="1:7" ht="60" x14ac:dyDescent="0.25">
      <c r="A729" s="65" t="s">
        <v>561</v>
      </c>
      <c r="B729" s="15" t="s">
        <v>33</v>
      </c>
      <c r="C729" s="16" t="s">
        <v>505</v>
      </c>
      <c r="D729" s="17"/>
      <c r="E729" s="120">
        <f>SUM(E730)</f>
        <v>5</v>
      </c>
      <c r="F729" s="120">
        <f t="shared" ref="F729:G729" si="268">SUM(F730)</f>
        <v>100</v>
      </c>
      <c r="G729" s="120">
        <f t="shared" si="268"/>
        <v>100</v>
      </c>
    </row>
    <row r="730" spans="1:7" x14ac:dyDescent="0.25">
      <c r="A730" s="114" t="s">
        <v>22</v>
      </c>
      <c r="B730" s="15" t="s">
        <v>33</v>
      </c>
      <c r="C730" s="16" t="s">
        <v>505</v>
      </c>
      <c r="D730" s="17">
        <v>800</v>
      </c>
      <c r="E730" s="120">
        <f>100-95</f>
        <v>5</v>
      </c>
      <c r="F730" s="120">
        <v>100</v>
      </c>
      <c r="G730" s="120">
        <v>100</v>
      </c>
    </row>
    <row r="731" spans="1:7" x14ac:dyDescent="0.25">
      <c r="A731" s="114" t="s">
        <v>695</v>
      </c>
      <c r="B731" s="15" t="s">
        <v>33</v>
      </c>
      <c r="C731" s="144" t="s">
        <v>696</v>
      </c>
      <c r="D731" s="17"/>
      <c r="E731" s="120">
        <f>E732</f>
        <v>900</v>
      </c>
      <c r="F731" s="120">
        <f t="shared" ref="F731:G731" si="269">F732</f>
        <v>0</v>
      </c>
      <c r="G731" s="120">
        <f t="shared" si="269"/>
        <v>0</v>
      </c>
    </row>
    <row r="732" spans="1:7" ht="30" x14ac:dyDescent="0.25">
      <c r="A732" s="65" t="s">
        <v>56</v>
      </c>
      <c r="B732" s="15" t="s">
        <v>33</v>
      </c>
      <c r="C732" s="144" t="s">
        <v>696</v>
      </c>
      <c r="D732" s="17">
        <v>600</v>
      </c>
      <c r="E732" s="120">
        <v>900</v>
      </c>
      <c r="F732" s="120">
        <v>0</v>
      </c>
      <c r="G732" s="120">
        <v>0</v>
      </c>
    </row>
    <row r="733" spans="1:7" ht="30" x14ac:dyDescent="0.25">
      <c r="A733" s="74" t="s">
        <v>447</v>
      </c>
      <c r="B733" s="76" t="s">
        <v>33</v>
      </c>
      <c r="C733" s="76" t="s">
        <v>217</v>
      </c>
      <c r="D733" s="83"/>
      <c r="E733" s="20">
        <f>E734+E738+E742</f>
        <v>44838.3</v>
      </c>
      <c r="F733" s="20">
        <f t="shared" ref="F733:G733" si="270">F734+F738+F742</f>
        <v>32524.400000000001</v>
      </c>
      <c r="G733" s="20">
        <f t="shared" si="270"/>
        <v>32763.3</v>
      </c>
    </row>
    <row r="734" spans="1:7" ht="30" x14ac:dyDescent="0.25">
      <c r="A734" s="75" t="s">
        <v>364</v>
      </c>
      <c r="B734" s="76" t="s">
        <v>33</v>
      </c>
      <c r="C734" s="76" t="s">
        <v>365</v>
      </c>
      <c r="D734" s="83"/>
      <c r="E734" s="20">
        <f>E735</f>
        <v>516.5</v>
      </c>
      <c r="F734" s="20">
        <f t="shared" ref="F734:G736" si="271">F735</f>
        <v>500</v>
      </c>
      <c r="G734" s="20">
        <f t="shared" si="271"/>
        <v>500</v>
      </c>
    </row>
    <row r="735" spans="1:7" ht="30" x14ac:dyDescent="0.25">
      <c r="A735" s="75" t="s">
        <v>366</v>
      </c>
      <c r="B735" s="76" t="s">
        <v>33</v>
      </c>
      <c r="C735" s="76" t="s">
        <v>367</v>
      </c>
      <c r="D735" s="83"/>
      <c r="E735" s="20">
        <f>E736</f>
        <v>516.5</v>
      </c>
      <c r="F735" s="20">
        <f t="shared" si="271"/>
        <v>500</v>
      </c>
      <c r="G735" s="20">
        <f t="shared" si="271"/>
        <v>500</v>
      </c>
    </row>
    <row r="736" spans="1:7" ht="45" x14ac:dyDescent="0.25">
      <c r="A736" s="75" t="s">
        <v>368</v>
      </c>
      <c r="B736" s="76" t="s">
        <v>369</v>
      </c>
      <c r="C736" s="76" t="s">
        <v>370</v>
      </c>
      <c r="D736" s="83"/>
      <c r="E736" s="20">
        <f>E737</f>
        <v>516.5</v>
      </c>
      <c r="F736" s="20">
        <f t="shared" si="271"/>
        <v>500</v>
      </c>
      <c r="G736" s="20">
        <f t="shared" si="271"/>
        <v>500</v>
      </c>
    </row>
    <row r="737" spans="1:7" x14ac:dyDescent="0.25">
      <c r="A737" s="1" t="s">
        <v>29</v>
      </c>
      <c r="B737" s="76" t="s">
        <v>369</v>
      </c>
      <c r="C737" s="76" t="s">
        <v>370</v>
      </c>
      <c r="D737" s="83">
        <v>300</v>
      </c>
      <c r="E737" s="120">
        <f>600-83.5</f>
        <v>516.5</v>
      </c>
      <c r="F737" s="120">
        <v>500</v>
      </c>
      <c r="G737" s="120">
        <v>500</v>
      </c>
    </row>
    <row r="738" spans="1:7" x14ac:dyDescent="0.25">
      <c r="A738" s="75" t="s">
        <v>371</v>
      </c>
      <c r="B738" s="76" t="s">
        <v>33</v>
      </c>
      <c r="C738" s="76" t="s">
        <v>372</v>
      </c>
      <c r="D738" s="83"/>
      <c r="E738" s="20">
        <f>E739</f>
        <v>33921.800000000003</v>
      </c>
      <c r="F738" s="20">
        <f t="shared" ref="F738:G738" si="272">F739</f>
        <v>32024.400000000001</v>
      </c>
      <c r="G738" s="20">
        <f t="shared" si="272"/>
        <v>32263.3</v>
      </c>
    </row>
    <row r="739" spans="1:7" ht="45" x14ac:dyDescent="0.25">
      <c r="A739" s="74" t="s">
        <v>411</v>
      </c>
      <c r="B739" s="76" t="s">
        <v>33</v>
      </c>
      <c r="C739" s="76" t="s">
        <v>373</v>
      </c>
      <c r="D739" s="83"/>
      <c r="E739" s="20">
        <f>E740</f>
        <v>33921.800000000003</v>
      </c>
      <c r="F739" s="20">
        <f t="shared" ref="F739:G739" si="273">F740</f>
        <v>32024.400000000001</v>
      </c>
      <c r="G739" s="20">
        <f t="shared" si="273"/>
        <v>32263.3</v>
      </c>
    </row>
    <row r="740" spans="1:7" x14ac:dyDescent="0.25">
      <c r="A740" s="74" t="s">
        <v>412</v>
      </c>
      <c r="B740" s="86" t="s">
        <v>33</v>
      </c>
      <c r="C740" s="86" t="s">
        <v>407</v>
      </c>
      <c r="D740" s="87"/>
      <c r="E740" s="20">
        <f>E741</f>
        <v>33921.800000000003</v>
      </c>
      <c r="F740" s="20">
        <f t="shared" ref="F740:G740" si="274">F741</f>
        <v>32024.400000000001</v>
      </c>
      <c r="G740" s="20">
        <f t="shared" si="274"/>
        <v>32263.3</v>
      </c>
    </row>
    <row r="741" spans="1:7" x14ac:dyDescent="0.25">
      <c r="A741" s="65" t="s">
        <v>29</v>
      </c>
      <c r="B741" s="86" t="s">
        <v>33</v>
      </c>
      <c r="C741" s="86" t="s">
        <v>407</v>
      </c>
      <c r="D741" s="87">
        <v>300</v>
      </c>
      <c r="E741" s="120">
        <f>SUM(500+5643.6)+1535.6+26248.2-5.7+0.1</f>
        <v>33921.800000000003</v>
      </c>
      <c r="F741" s="120">
        <f>500+1421.5+30102.9</f>
        <v>32024.400000000001</v>
      </c>
      <c r="G741" s="120">
        <f>500+1435.8+30327.5</f>
        <v>32263.3</v>
      </c>
    </row>
    <row r="742" spans="1:7" ht="30" x14ac:dyDescent="0.25">
      <c r="A742" s="88" t="s">
        <v>648</v>
      </c>
      <c r="B742" s="86" t="s">
        <v>33</v>
      </c>
      <c r="C742" s="86" t="s">
        <v>651</v>
      </c>
      <c r="D742" s="87"/>
      <c r="E742" s="120">
        <f>E743</f>
        <v>10400</v>
      </c>
      <c r="F742" s="120">
        <f t="shared" ref="F742:G744" si="275">F743</f>
        <v>0</v>
      </c>
      <c r="G742" s="120">
        <f t="shared" si="275"/>
        <v>0</v>
      </c>
    </row>
    <row r="743" spans="1:7" ht="30" x14ac:dyDescent="0.25">
      <c r="A743" s="88" t="s">
        <v>649</v>
      </c>
      <c r="B743" s="86" t="s">
        <v>33</v>
      </c>
      <c r="C743" s="86" t="s">
        <v>652</v>
      </c>
      <c r="D743" s="87"/>
      <c r="E743" s="120">
        <f>E744</f>
        <v>10400</v>
      </c>
      <c r="F743" s="120">
        <f t="shared" si="275"/>
        <v>0</v>
      </c>
      <c r="G743" s="120">
        <f t="shared" si="275"/>
        <v>0</v>
      </c>
    </row>
    <row r="744" spans="1:7" ht="60" x14ac:dyDescent="0.25">
      <c r="A744" s="88" t="s">
        <v>650</v>
      </c>
      <c r="B744" s="86" t="s">
        <v>33</v>
      </c>
      <c r="C744" s="83" t="s">
        <v>653</v>
      </c>
      <c r="D744" s="87"/>
      <c r="E744" s="120">
        <f>E745</f>
        <v>10400</v>
      </c>
      <c r="F744" s="120">
        <f t="shared" si="275"/>
        <v>0</v>
      </c>
      <c r="G744" s="120">
        <f t="shared" si="275"/>
        <v>0</v>
      </c>
    </row>
    <row r="745" spans="1:7" x14ac:dyDescent="0.25">
      <c r="A745" s="65" t="s">
        <v>29</v>
      </c>
      <c r="B745" s="86" t="s">
        <v>33</v>
      </c>
      <c r="C745" s="83" t="s">
        <v>653</v>
      </c>
      <c r="D745" s="87">
        <v>300</v>
      </c>
      <c r="E745" s="120">
        <f>624+9776</f>
        <v>10400</v>
      </c>
      <c r="F745" s="120">
        <v>0</v>
      </c>
      <c r="G745" s="120">
        <v>0</v>
      </c>
    </row>
    <row r="746" spans="1:7" x14ac:dyDescent="0.25">
      <c r="A746" s="80" t="s">
        <v>307</v>
      </c>
      <c r="B746" s="24" t="s">
        <v>308</v>
      </c>
      <c r="C746" s="24"/>
      <c r="D746" s="24"/>
      <c r="E746" s="12">
        <f>E747+E757</f>
        <v>168481.70000000004</v>
      </c>
      <c r="F746" s="12">
        <f>F747+F757</f>
        <v>255824.3</v>
      </c>
      <c r="G746" s="12">
        <f>G747+G757</f>
        <v>255181</v>
      </c>
    </row>
    <row r="747" spans="1:7" ht="30" x14ac:dyDescent="0.25">
      <c r="A747" s="74" t="s">
        <v>447</v>
      </c>
      <c r="B747" s="86" t="s">
        <v>308</v>
      </c>
      <c r="C747" s="86" t="s">
        <v>217</v>
      </c>
      <c r="D747" s="24"/>
      <c r="E747" s="58">
        <f>E748</f>
        <v>17582.800000000007</v>
      </c>
      <c r="F747" s="58">
        <f t="shared" ref="F747:G747" si="276">F748</f>
        <v>66173.400000000009</v>
      </c>
      <c r="G747" s="58">
        <f t="shared" si="276"/>
        <v>66173.400000000009</v>
      </c>
    </row>
    <row r="748" spans="1:7" ht="45" x14ac:dyDescent="0.25">
      <c r="A748" s="65" t="s">
        <v>518</v>
      </c>
      <c r="B748" s="86" t="s">
        <v>308</v>
      </c>
      <c r="C748" s="16" t="s">
        <v>521</v>
      </c>
      <c r="D748" s="86"/>
      <c r="E748" s="58">
        <f>SUM(E749)</f>
        <v>17582.800000000007</v>
      </c>
      <c r="F748" s="58">
        <f t="shared" ref="F748:G748" si="277">SUM(F749)</f>
        <v>66173.400000000009</v>
      </c>
      <c r="G748" s="58">
        <f t="shared" si="277"/>
        <v>66173.400000000009</v>
      </c>
    </row>
    <row r="749" spans="1:7" ht="45" x14ac:dyDescent="0.25">
      <c r="A749" s="114" t="s">
        <v>519</v>
      </c>
      <c r="B749" s="86" t="s">
        <v>308</v>
      </c>
      <c r="C749" s="16" t="s">
        <v>522</v>
      </c>
      <c r="D749" s="86"/>
      <c r="E749" s="58">
        <f>E750+E755+E753</f>
        <v>17582.800000000007</v>
      </c>
      <c r="F749" s="58">
        <f t="shared" ref="F749:G749" si="278">F750+F755+F753</f>
        <v>66173.400000000009</v>
      </c>
      <c r="G749" s="58">
        <f t="shared" si="278"/>
        <v>66173.400000000009</v>
      </c>
    </row>
    <row r="750" spans="1:7" ht="45" x14ac:dyDescent="0.25">
      <c r="A750" s="91" t="s">
        <v>520</v>
      </c>
      <c r="B750" s="86" t="s">
        <v>308</v>
      </c>
      <c r="C750" s="16" t="s">
        <v>523</v>
      </c>
      <c r="D750" s="86"/>
      <c r="E750" s="58">
        <f>SUM(E751:E752)</f>
        <v>16878.600000000006</v>
      </c>
      <c r="F750" s="58">
        <f t="shared" ref="F750:G750" si="279">SUM(F751:F752)</f>
        <v>64480.200000000004</v>
      </c>
      <c r="G750" s="58">
        <f t="shared" si="279"/>
        <v>64480.200000000004</v>
      </c>
    </row>
    <row r="751" spans="1:7" ht="30" x14ac:dyDescent="0.25">
      <c r="A751" s="157" t="s">
        <v>705</v>
      </c>
      <c r="B751" s="86" t="s">
        <v>308</v>
      </c>
      <c r="C751" s="16" t="s">
        <v>523</v>
      </c>
      <c r="D751" s="86" t="s">
        <v>374</v>
      </c>
      <c r="E751" s="120">
        <f>65865.1-1384.9-51204.9-9482.4</f>
        <v>3792.9000000000033</v>
      </c>
      <c r="F751" s="120">
        <f>65865.1-1384.9</f>
        <v>64480.200000000004</v>
      </c>
      <c r="G751" s="120">
        <f>38421.3+26058.9</f>
        <v>64480.200000000004</v>
      </c>
    </row>
    <row r="752" spans="1:7" x14ac:dyDescent="0.25">
      <c r="A752" s="82" t="s">
        <v>22</v>
      </c>
      <c r="B752" s="86" t="s">
        <v>308</v>
      </c>
      <c r="C752" s="16" t="s">
        <v>523</v>
      </c>
      <c r="D752" s="86" t="s">
        <v>590</v>
      </c>
      <c r="E752" s="120">
        <v>13085.7</v>
      </c>
      <c r="F752" s="120">
        <v>0</v>
      </c>
      <c r="G752" s="120">
        <v>0</v>
      </c>
    </row>
    <row r="753" spans="1:7" ht="75" x14ac:dyDescent="0.25">
      <c r="A753" s="88" t="s">
        <v>663</v>
      </c>
      <c r="B753" s="15" t="s">
        <v>308</v>
      </c>
      <c r="C753" s="83" t="s">
        <v>664</v>
      </c>
      <c r="D753" s="17"/>
      <c r="E753" s="120">
        <f>E754</f>
        <v>602.9</v>
      </c>
      <c r="F753" s="120">
        <f t="shared" ref="F753:G753" si="280">F754</f>
        <v>1306.3</v>
      </c>
      <c r="G753" s="120">
        <f t="shared" si="280"/>
        <v>1306.3</v>
      </c>
    </row>
    <row r="754" spans="1:7" ht="30" x14ac:dyDescent="0.25">
      <c r="A754" s="65" t="s">
        <v>21</v>
      </c>
      <c r="B754" s="15" t="s">
        <v>308</v>
      </c>
      <c r="C754" s="83" t="s">
        <v>664</v>
      </c>
      <c r="D754" s="17">
        <v>200</v>
      </c>
      <c r="E754" s="120">
        <f>904.4-301.5</f>
        <v>602.9</v>
      </c>
      <c r="F754" s="120">
        <v>1306.3</v>
      </c>
      <c r="G754" s="120">
        <v>1306.3</v>
      </c>
    </row>
    <row r="755" spans="1:7" ht="63" x14ac:dyDescent="0.25">
      <c r="A755" s="137" t="s">
        <v>552</v>
      </c>
      <c r="B755" s="86" t="s">
        <v>308</v>
      </c>
      <c r="C755" s="16" t="s">
        <v>553</v>
      </c>
      <c r="D755" s="86"/>
      <c r="E755" s="120">
        <f>E756</f>
        <v>101.29999999999998</v>
      </c>
      <c r="F755" s="120">
        <f>F756</f>
        <v>386.9</v>
      </c>
      <c r="G755" s="120">
        <f>G756</f>
        <v>386.9</v>
      </c>
    </row>
    <row r="756" spans="1:7" ht="30" x14ac:dyDescent="0.25">
      <c r="A756" s="65" t="s">
        <v>21</v>
      </c>
      <c r="B756" s="86" t="s">
        <v>308</v>
      </c>
      <c r="C756" s="16" t="s">
        <v>553</v>
      </c>
      <c r="D756" s="86" t="s">
        <v>48</v>
      </c>
      <c r="E756" s="120">
        <f>386.9-307.2+21.6</f>
        <v>101.29999999999998</v>
      </c>
      <c r="F756" s="120">
        <v>386.9</v>
      </c>
      <c r="G756" s="120">
        <v>386.9</v>
      </c>
    </row>
    <row r="757" spans="1:7" ht="22.5" customHeight="1" x14ac:dyDescent="0.25">
      <c r="A757" s="65" t="s">
        <v>491</v>
      </c>
      <c r="B757" s="15" t="s">
        <v>308</v>
      </c>
      <c r="C757" s="16" t="s">
        <v>266</v>
      </c>
      <c r="D757" s="15"/>
      <c r="E757" s="20">
        <f>E758+E764</f>
        <v>150898.90000000002</v>
      </c>
      <c r="F757" s="20">
        <f>F758+F764</f>
        <v>189650.9</v>
      </c>
      <c r="G757" s="20">
        <f>G758+G764</f>
        <v>189007.59999999998</v>
      </c>
    </row>
    <row r="758" spans="1:7" ht="30" x14ac:dyDescent="0.25">
      <c r="A758" s="60" t="s">
        <v>267</v>
      </c>
      <c r="B758" s="15" t="s">
        <v>308</v>
      </c>
      <c r="C758" s="16" t="s">
        <v>268</v>
      </c>
      <c r="D758" s="15"/>
      <c r="E758" s="20">
        <f>E759</f>
        <v>92717.3</v>
      </c>
      <c r="F758" s="20">
        <f t="shared" ref="F758:G759" si="281">F759</f>
        <v>127866.4</v>
      </c>
      <c r="G758" s="20">
        <f t="shared" si="281"/>
        <v>127866.4</v>
      </c>
    </row>
    <row r="759" spans="1:7" ht="45" x14ac:dyDescent="0.25">
      <c r="A759" s="60" t="s">
        <v>269</v>
      </c>
      <c r="B759" s="15" t="s">
        <v>308</v>
      </c>
      <c r="C759" s="16" t="s">
        <v>270</v>
      </c>
      <c r="D759" s="15"/>
      <c r="E759" s="20">
        <f>E760</f>
        <v>92717.3</v>
      </c>
      <c r="F759" s="20">
        <f t="shared" si="281"/>
        <v>127866.4</v>
      </c>
      <c r="G759" s="20">
        <f t="shared" si="281"/>
        <v>127866.4</v>
      </c>
    </row>
    <row r="760" spans="1:7" ht="60" x14ac:dyDescent="0.25">
      <c r="A760" s="62" t="s">
        <v>547</v>
      </c>
      <c r="B760" s="15" t="s">
        <v>308</v>
      </c>
      <c r="C760" s="16" t="s">
        <v>309</v>
      </c>
      <c r="D760" s="17"/>
      <c r="E760" s="120">
        <f>E763+E761+E762</f>
        <v>92717.3</v>
      </c>
      <c r="F760" s="120">
        <f t="shared" ref="F760:G760" si="282">F763+F761+F762</f>
        <v>127866.4</v>
      </c>
      <c r="G760" s="120">
        <f t="shared" si="282"/>
        <v>127866.4</v>
      </c>
    </row>
    <row r="761" spans="1:7" ht="30" x14ac:dyDescent="0.25">
      <c r="A761" s="62" t="s">
        <v>21</v>
      </c>
      <c r="B761" s="15" t="s">
        <v>308</v>
      </c>
      <c r="C761" s="16" t="s">
        <v>309</v>
      </c>
      <c r="D761" s="17">
        <v>200</v>
      </c>
      <c r="E761" s="120">
        <f>10+8.5</f>
        <v>18.5</v>
      </c>
      <c r="F761" s="120">
        <v>0</v>
      </c>
      <c r="G761" s="120">
        <v>0</v>
      </c>
    </row>
    <row r="762" spans="1:7" x14ac:dyDescent="0.25">
      <c r="A762" s="62" t="s">
        <v>29</v>
      </c>
      <c r="B762" s="15" t="s">
        <v>308</v>
      </c>
      <c r="C762" s="16" t="s">
        <v>309</v>
      </c>
      <c r="D762" s="17">
        <v>300</v>
      </c>
      <c r="E762" s="120">
        <f>1100+11.5</f>
        <v>1111.5</v>
      </c>
      <c r="F762" s="120">
        <v>0</v>
      </c>
      <c r="G762" s="120">
        <v>0</v>
      </c>
    </row>
    <row r="763" spans="1:7" ht="30" x14ac:dyDescent="0.25">
      <c r="A763" s="65" t="s">
        <v>56</v>
      </c>
      <c r="B763" s="15" t="s">
        <v>308</v>
      </c>
      <c r="C763" s="16" t="s">
        <v>309</v>
      </c>
      <c r="D763" s="17">
        <v>600</v>
      </c>
      <c r="E763" s="120">
        <f>127866.4-1110-762.6-15001.4-19996.2+591.1</f>
        <v>91587.3</v>
      </c>
      <c r="F763" s="120">
        <v>127866.4</v>
      </c>
      <c r="G763" s="120">
        <v>127866.4</v>
      </c>
    </row>
    <row r="764" spans="1:7" x14ac:dyDescent="0.25">
      <c r="A764" s="60" t="s">
        <v>290</v>
      </c>
      <c r="B764" s="15" t="s">
        <v>308</v>
      </c>
      <c r="C764" s="16" t="s">
        <v>291</v>
      </c>
      <c r="D764" s="15"/>
      <c r="E764" s="96">
        <f>E765</f>
        <v>58181.600000000006</v>
      </c>
      <c r="F764" s="96">
        <f t="shared" ref="F764:G764" si="283">F765</f>
        <v>61784.5</v>
      </c>
      <c r="G764" s="96">
        <f t="shared" si="283"/>
        <v>61141.2</v>
      </c>
    </row>
    <row r="765" spans="1:7" ht="30" x14ac:dyDescent="0.25">
      <c r="A765" s="84" t="s">
        <v>300</v>
      </c>
      <c r="B765" s="15" t="s">
        <v>308</v>
      </c>
      <c r="C765" s="16" t="s">
        <v>301</v>
      </c>
      <c r="D765" s="15"/>
      <c r="E765" s="96">
        <f>E772+E766+E769</f>
        <v>58181.600000000006</v>
      </c>
      <c r="F765" s="96">
        <f t="shared" ref="F765:G765" si="284">F772+F766+F769</f>
        <v>61784.5</v>
      </c>
      <c r="G765" s="96">
        <f t="shared" si="284"/>
        <v>61141.2</v>
      </c>
    </row>
    <row r="766" spans="1:7" ht="60" x14ac:dyDescent="0.25">
      <c r="A766" s="65" t="s">
        <v>557</v>
      </c>
      <c r="B766" s="15" t="s">
        <v>308</v>
      </c>
      <c r="C766" s="16" t="s">
        <v>310</v>
      </c>
      <c r="D766" s="17"/>
      <c r="E766" s="120">
        <f>E767+E768</f>
        <v>318.39999999999998</v>
      </c>
      <c r="F766" s="120">
        <f t="shared" ref="F766:G766" si="285">F767+F768</f>
        <v>328</v>
      </c>
      <c r="G766" s="120">
        <f t="shared" si="285"/>
        <v>328</v>
      </c>
    </row>
    <row r="767" spans="1:7" ht="30" x14ac:dyDescent="0.25">
      <c r="A767" s="65" t="s">
        <v>21</v>
      </c>
      <c r="B767" s="15" t="s">
        <v>308</v>
      </c>
      <c r="C767" s="16" t="s">
        <v>310</v>
      </c>
      <c r="D767" s="17">
        <v>200</v>
      </c>
      <c r="E767" s="120">
        <f>3-2</f>
        <v>1</v>
      </c>
      <c r="F767" s="120">
        <v>3</v>
      </c>
      <c r="G767" s="120">
        <v>3</v>
      </c>
    </row>
    <row r="768" spans="1:7" x14ac:dyDescent="0.25">
      <c r="A768" s="65" t="s">
        <v>29</v>
      </c>
      <c r="B768" s="15" t="s">
        <v>308</v>
      </c>
      <c r="C768" s="16" t="s">
        <v>310</v>
      </c>
      <c r="D768" s="17">
        <v>300</v>
      </c>
      <c r="E768" s="120">
        <f>315.4-4.7+2+4.7</f>
        <v>317.39999999999998</v>
      </c>
      <c r="F768" s="120">
        <v>325</v>
      </c>
      <c r="G768" s="120">
        <v>325</v>
      </c>
    </row>
    <row r="769" spans="1:7" ht="60" x14ac:dyDescent="0.25">
      <c r="A769" s="65" t="s">
        <v>549</v>
      </c>
      <c r="B769" s="15" t="s">
        <v>308</v>
      </c>
      <c r="C769" s="16" t="s">
        <v>517</v>
      </c>
      <c r="D769" s="17"/>
      <c r="E769" s="120">
        <f>E770+E771</f>
        <v>52517.500000000007</v>
      </c>
      <c r="F769" s="120">
        <f t="shared" ref="F769:G769" si="286">F770+F771</f>
        <v>54343.1</v>
      </c>
      <c r="G769" s="120">
        <f t="shared" si="286"/>
        <v>54343.1</v>
      </c>
    </row>
    <row r="770" spans="1:7" ht="30" x14ac:dyDescent="0.25">
      <c r="A770" s="65" t="s">
        <v>689</v>
      </c>
      <c r="B770" s="15" t="s">
        <v>308</v>
      </c>
      <c r="C770" s="16" t="s">
        <v>517</v>
      </c>
      <c r="D770" s="17">
        <v>200</v>
      </c>
      <c r="E770" s="120">
        <f>250+153+12</f>
        <v>415</v>
      </c>
      <c r="F770" s="120">
        <v>250</v>
      </c>
      <c r="G770" s="120">
        <v>250</v>
      </c>
    </row>
    <row r="771" spans="1:7" x14ac:dyDescent="0.25">
      <c r="A771" s="65" t="s">
        <v>29</v>
      </c>
      <c r="B771" s="15" t="s">
        <v>308</v>
      </c>
      <c r="C771" s="16" t="s">
        <v>517</v>
      </c>
      <c r="D771" s="17">
        <v>300</v>
      </c>
      <c r="E771" s="120">
        <f>52637.3-781.6-153+399.8</f>
        <v>52102.500000000007</v>
      </c>
      <c r="F771" s="120">
        <v>54093.1</v>
      </c>
      <c r="G771" s="120">
        <v>54093.1</v>
      </c>
    </row>
    <row r="772" spans="1:7" ht="45" x14ac:dyDescent="0.25">
      <c r="A772" s="65" t="s">
        <v>548</v>
      </c>
      <c r="B772" s="15" t="s">
        <v>308</v>
      </c>
      <c r="C772" s="16" t="s">
        <v>311</v>
      </c>
      <c r="D772" s="17"/>
      <c r="E772" s="120">
        <f>E773+E774</f>
        <v>5345.6999999999989</v>
      </c>
      <c r="F772" s="120">
        <f t="shared" ref="F772:G772" si="287">F773+F774</f>
        <v>7113.4</v>
      </c>
      <c r="G772" s="120">
        <f t="shared" si="287"/>
        <v>6470.1</v>
      </c>
    </row>
    <row r="773" spans="1:7" ht="30" x14ac:dyDescent="0.25">
      <c r="A773" s="65" t="s">
        <v>21</v>
      </c>
      <c r="B773" s="15" t="s">
        <v>308</v>
      </c>
      <c r="C773" s="16" t="s">
        <v>311</v>
      </c>
      <c r="D773" s="17">
        <v>200</v>
      </c>
      <c r="E773" s="120">
        <f>25+20.6+0.1</f>
        <v>45.7</v>
      </c>
      <c r="F773" s="120">
        <v>35</v>
      </c>
      <c r="G773" s="120">
        <v>30</v>
      </c>
    </row>
    <row r="774" spans="1:7" x14ac:dyDescent="0.25">
      <c r="A774" s="65" t="s">
        <v>29</v>
      </c>
      <c r="B774" s="15" t="s">
        <v>308</v>
      </c>
      <c r="C774" s="16" t="s">
        <v>311</v>
      </c>
      <c r="D774" s="17">
        <v>300</v>
      </c>
      <c r="E774" s="120">
        <f>-19.5+4914.7-73-0.1+71.9+406</f>
        <v>5299.9999999999991</v>
      </c>
      <c r="F774" s="120">
        <v>7078.4</v>
      </c>
      <c r="G774" s="120">
        <v>6440.1</v>
      </c>
    </row>
    <row r="775" spans="1:7" x14ac:dyDescent="0.25">
      <c r="A775" s="9" t="s">
        <v>171</v>
      </c>
      <c r="B775" s="10" t="s">
        <v>172</v>
      </c>
      <c r="C775" s="14"/>
      <c r="D775" s="11"/>
      <c r="E775" s="12">
        <f>SUM(E776+E789)</f>
        <v>40127.299999999996</v>
      </c>
      <c r="F775" s="12">
        <f>SUM(F776+F789)</f>
        <v>34461.300000000003</v>
      </c>
      <c r="G775" s="12">
        <f>SUM(G776+G789)</f>
        <v>32025.8</v>
      </c>
    </row>
    <row r="776" spans="1:7" x14ac:dyDescent="0.25">
      <c r="A776" s="9" t="s">
        <v>173</v>
      </c>
      <c r="B776" s="10" t="s">
        <v>174</v>
      </c>
      <c r="C776" s="14"/>
      <c r="D776" s="11"/>
      <c r="E776" s="12">
        <f>E780+E777</f>
        <v>28441.699999999997</v>
      </c>
      <c r="F776" s="12">
        <f>F780+F777</f>
        <v>23916</v>
      </c>
      <c r="G776" s="12">
        <f t="shared" ref="G776" si="288">G780+G777</f>
        <v>21437.5</v>
      </c>
    </row>
    <row r="777" spans="1:7" s="155" customFormat="1" x14ac:dyDescent="0.25">
      <c r="A777" s="65" t="s">
        <v>10</v>
      </c>
      <c r="B777" s="15" t="s">
        <v>174</v>
      </c>
      <c r="C777" s="144" t="s">
        <v>11</v>
      </c>
      <c r="D777" s="17"/>
      <c r="E777" s="58">
        <f>E778</f>
        <v>185.1</v>
      </c>
      <c r="F777" s="58">
        <f t="shared" ref="F777:G778" si="289">F778</f>
        <v>0</v>
      </c>
      <c r="G777" s="58">
        <f t="shared" si="289"/>
        <v>0</v>
      </c>
    </row>
    <row r="778" spans="1:7" s="155" customFormat="1" ht="60" x14ac:dyDescent="0.25">
      <c r="A778" s="65" t="s">
        <v>712</v>
      </c>
      <c r="B778" s="15" t="s">
        <v>174</v>
      </c>
      <c r="C778" s="144" t="s">
        <v>713</v>
      </c>
      <c r="D778" s="17"/>
      <c r="E778" s="58">
        <f>E779</f>
        <v>185.1</v>
      </c>
      <c r="F778" s="58">
        <f t="shared" si="289"/>
        <v>0</v>
      </c>
      <c r="G778" s="58">
        <f t="shared" si="289"/>
        <v>0</v>
      </c>
    </row>
    <row r="779" spans="1:7" s="155" customFormat="1" ht="30" x14ac:dyDescent="0.25">
      <c r="A779" s="65" t="s">
        <v>56</v>
      </c>
      <c r="B779" s="15" t="s">
        <v>174</v>
      </c>
      <c r="C779" s="144" t="s">
        <v>713</v>
      </c>
      <c r="D779" s="17">
        <v>600</v>
      </c>
      <c r="E779" s="58">
        <v>185.1</v>
      </c>
      <c r="F779" s="58">
        <v>0</v>
      </c>
      <c r="G779" s="58">
        <v>0</v>
      </c>
    </row>
    <row r="780" spans="1:7" ht="30" x14ac:dyDescent="0.25">
      <c r="A780" s="65" t="s">
        <v>509</v>
      </c>
      <c r="B780" s="15" t="s">
        <v>174</v>
      </c>
      <c r="C780" s="16" t="s">
        <v>175</v>
      </c>
      <c r="D780" s="17"/>
      <c r="E780" s="20">
        <f>E784+E781</f>
        <v>28256.6</v>
      </c>
      <c r="F780" s="20">
        <f>F784+F781</f>
        <v>23916</v>
      </c>
      <c r="G780" s="20">
        <f t="shared" ref="G780" si="290">G784+G781</f>
        <v>21437.5</v>
      </c>
    </row>
    <row r="781" spans="1:7" s="155" customFormat="1" x14ac:dyDescent="0.25">
      <c r="A781" s="65" t="s">
        <v>718</v>
      </c>
      <c r="B781" s="16" t="s">
        <v>174</v>
      </c>
      <c r="C781" s="16" t="s">
        <v>720</v>
      </c>
      <c r="D781" s="17"/>
      <c r="E781" s="20">
        <f>E782</f>
        <v>0</v>
      </c>
      <c r="F781" s="20">
        <f t="shared" ref="F781:G782" si="291">F782</f>
        <v>3053.8</v>
      </c>
      <c r="G781" s="20">
        <f t="shared" si="291"/>
        <v>0</v>
      </c>
    </row>
    <row r="782" spans="1:7" s="155" customFormat="1" ht="30" x14ac:dyDescent="0.25">
      <c r="A782" s="65" t="s">
        <v>719</v>
      </c>
      <c r="B782" s="15" t="s">
        <v>174</v>
      </c>
      <c r="C782" s="144" t="s">
        <v>524</v>
      </c>
      <c r="D782" s="17"/>
      <c r="E782" s="20">
        <f>E783</f>
        <v>0</v>
      </c>
      <c r="F782" s="20">
        <f t="shared" si="291"/>
        <v>3053.8</v>
      </c>
      <c r="G782" s="20">
        <f t="shared" si="291"/>
        <v>0</v>
      </c>
    </row>
    <row r="783" spans="1:7" s="155" customFormat="1" ht="30" x14ac:dyDescent="0.25">
      <c r="A783" s="65" t="s">
        <v>21</v>
      </c>
      <c r="B783" s="15" t="s">
        <v>174</v>
      </c>
      <c r="C783" s="144" t="s">
        <v>524</v>
      </c>
      <c r="D783" s="17">
        <v>600</v>
      </c>
      <c r="E783" s="20">
        <v>0</v>
      </c>
      <c r="F783" s="20">
        <f>243+2810.8</f>
        <v>3053.8</v>
      </c>
      <c r="G783" s="20">
        <v>0</v>
      </c>
    </row>
    <row r="784" spans="1:7" ht="30" x14ac:dyDescent="0.25">
      <c r="A784" s="1" t="s">
        <v>176</v>
      </c>
      <c r="B784" s="15" t="s">
        <v>174</v>
      </c>
      <c r="C784" s="16" t="s">
        <v>177</v>
      </c>
      <c r="D784" s="17"/>
      <c r="E784" s="20">
        <f>E785+E787</f>
        <v>28256.6</v>
      </c>
      <c r="F784" s="20">
        <f t="shared" ref="F784:G784" si="292">F785+F787</f>
        <v>20862.2</v>
      </c>
      <c r="G784" s="20">
        <f t="shared" si="292"/>
        <v>21437.5</v>
      </c>
    </row>
    <row r="785" spans="1:7" ht="30" x14ac:dyDescent="0.25">
      <c r="A785" s="1" t="s">
        <v>55</v>
      </c>
      <c r="B785" s="15" t="s">
        <v>174</v>
      </c>
      <c r="C785" s="16" t="s">
        <v>178</v>
      </c>
      <c r="D785" s="17"/>
      <c r="E785" s="20">
        <f>E786</f>
        <v>27256.6</v>
      </c>
      <c r="F785" s="20">
        <f t="shared" ref="F785:G785" si="293">F786</f>
        <v>20862.2</v>
      </c>
      <c r="G785" s="20">
        <f t="shared" si="293"/>
        <v>21437.5</v>
      </c>
    </row>
    <row r="786" spans="1:7" ht="30" x14ac:dyDescent="0.25">
      <c r="A786" s="1" t="s">
        <v>56</v>
      </c>
      <c r="B786" s="15" t="s">
        <v>174</v>
      </c>
      <c r="C786" s="16" t="s">
        <v>178</v>
      </c>
      <c r="D786" s="17">
        <v>600</v>
      </c>
      <c r="E786" s="120">
        <f>21444.6+857.6+3600.4+323.9+232.6+797.6-0.1</f>
        <v>27256.6</v>
      </c>
      <c r="F786" s="120">
        <v>20862.2</v>
      </c>
      <c r="G786" s="120">
        <v>21437.5</v>
      </c>
    </row>
    <row r="787" spans="1:7" ht="30" x14ac:dyDescent="0.25">
      <c r="A787" s="65" t="s">
        <v>673</v>
      </c>
      <c r="B787" s="15" t="s">
        <v>174</v>
      </c>
      <c r="C787" s="16" t="s">
        <v>674</v>
      </c>
      <c r="D787" s="17"/>
      <c r="E787" s="120">
        <f>E788</f>
        <v>1000</v>
      </c>
      <c r="F787" s="120">
        <f t="shared" ref="F787:G787" si="294">F788</f>
        <v>0</v>
      </c>
      <c r="G787" s="120">
        <f t="shared" si="294"/>
        <v>0</v>
      </c>
    </row>
    <row r="788" spans="1:7" ht="30" x14ac:dyDescent="0.25">
      <c r="A788" s="65" t="s">
        <v>56</v>
      </c>
      <c r="B788" s="15" t="s">
        <v>174</v>
      </c>
      <c r="C788" s="16" t="s">
        <v>674</v>
      </c>
      <c r="D788" s="17">
        <v>600</v>
      </c>
      <c r="E788" s="120">
        <v>1000</v>
      </c>
      <c r="F788" s="120"/>
      <c r="G788" s="120"/>
    </row>
    <row r="789" spans="1:7" x14ac:dyDescent="0.25">
      <c r="A789" s="9" t="s">
        <v>179</v>
      </c>
      <c r="B789" s="10" t="s">
        <v>180</v>
      </c>
      <c r="C789" s="14"/>
      <c r="D789" s="11"/>
      <c r="E789" s="12">
        <f>SUM(E790)</f>
        <v>11685.6</v>
      </c>
      <c r="F789" s="12">
        <f t="shared" ref="F789:G789" si="295">SUM(F790)</f>
        <v>10545.3</v>
      </c>
      <c r="G789" s="12">
        <f t="shared" si="295"/>
        <v>10588.3</v>
      </c>
    </row>
    <row r="790" spans="1:7" ht="30" x14ac:dyDescent="0.25">
      <c r="A790" s="65" t="s">
        <v>510</v>
      </c>
      <c r="B790" s="15" t="s">
        <v>180</v>
      </c>
      <c r="C790" s="16" t="s">
        <v>175</v>
      </c>
      <c r="D790" s="17"/>
      <c r="E790" s="20">
        <f>E791+E794+E806</f>
        <v>11685.6</v>
      </c>
      <c r="F790" s="20">
        <f t="shared" ref="F790:G790" si="296">F791+F794+F806</f>
        <v>10545.3</v>
      </c>
      <c r="G790" s="20">
        <f t="shared" si="296"/>
        <v>10588.3</v>
      </c>
    </row>
    <row r="791" spans="1:7" ht="30" x14ac:dyDescent="0.25">
      <c r="A791" s="1" t="s">
        <v>181</v>
      </c>
      <c r="B791" s="15" t="s">
        <v>180</v>
      </c>
      <c r="C791" s="16" t="s">
        <v>182</v>
      </c>
      <c r="D791" s="17"/>
      <c r="E791" s="20">
        <f>E792</f>
        <v>1297.2</v>
      </c>
      <c r="F791" s="20">
        <f t="shared" ref="F791:G792" si="297">F792</f>
        <v>207</v>
      </c>
      <c r="G791" s="20">
        <f t="shared" si="297"/>
        <v>450</v>
      </c>
    </row>
    <row r="792" spans="1:7" ht="30" x14ac:dyDescent="0.25">
      <c r="A792" s="1" t="s">
        <v>183</v>
      </c>
      <c r="B792" s="15" t="s">
        <v>180</v>
      </c>
      <c r="C792" s="16" t="s">
        <v>184</v>
      </c>
      <c r="D792" s="17"/>
      <c r="E792" s="20">
        <f>E793</f>
        <v>1297.2</v>
      </c>
      <c r="F792" s="20">
        <f t="shared" si="297"/>
        <v>207</v>
      </c>
      <c r="G792" s="20">
        <f t="shared" si="297"/>
        <v>450</v>
      </c>
    </row>
    <row r="793" spans="1:7" ht="30" x14ac:dyDescent="0.25">
      <c r="A793" s="1" t="s">
        <v>21</v>
      </c>
      <c r="B793" s="15" t="s">
        <v>180</v>
      </c>
      <c r="C793" s="16" t="s">
        <v>184</v>
      </c>
      <c r="D793" s="17">
        <v>200</v>
      </c>
      <c r="E793" s="120">
        <f>450-155.5+624.4+378.3</f>
        <v>1297.2</v>
      </c>
      <c r="F793" s="120">
        <f>450-243</f>
        <v>207</v>
      </c>
      <c r="G793" s="120">
        <v>450</v>
      </c>
    </row>
    <row r="794" spans="1:7" ht="30" x14ac:dyDescent="0.25">
      <c r="A794" s="60" t="s">
        <v>185</v>
      </c>
      <c r="B794" s="15" t="s">
        <v>180</v>
      </c>
      <c r="C794" s="16" t="s">
        <v>186</v>
      </c>
      <c r="D794" s="17"/>
      <c r="E794" s="20">
        <f>E795+E798+E800+E803</f>
        <v>10388.4</v>
      </c>
      <c r="F794" s="20">
        <f t="shared" ref="F794:G794" si="298">F795+F798+F800+F803</f>
        <v>10338.299999999999</v>
      </c>
      <c r="G794" s="20">
        <f t="shared" si="298"/>
        <v>10138.299999999999</v>
      </c>
    </row>
    <row r="795" spans="1:7" ht="30" x14ac:dyDescent="0.25">
      <c r="A795" s="1" t="s">
        <v>187</v>
      </c>
      <c r="B795" s="15" t="s">
        <v>180</v>
      </c>
      <c r="C795" s="16" t="s">
        <v>188</v>
      </c>
      <c r="D795" s="17"/>
      <c r="E795" s="20">
        <f>SUM(E796:E797)</f>
        <v>4049</v>
      </c>
      <c r="F795" s="20">
        <f t="shared" ref="F795:G795" si="299">SUM(F796:F797)</f>
        <v>6558.3</v>
      </c>
      <c r="G795" s="20">
        <f t="shared" si="299"/>
        <v>6358.3</v>
      </c>
    </row>
    <row r="796" spans="1:7" ht="60" x14ac:dyDescent="0.25">
      <c r="A796" s="1" t="s">
        <v>14</v>
      </c>
      <c r="B796" s="15" t="s">
        <v>180</v>
      </c>
      <c r="C796" s="16" t="s">
        <v>188</v>
      </c>
      <c r="D796" s="17">
        <v>100</v>
      </c>
      <c r="E796" s="120">
        <f>1493.8+400.2-119.6-600.5</f>
        <v>1173.9000000000001</v>
      </c>
      <c r="F796" s="120">
        <v>1792.8</v>
      </c>
      <c r="G796" s="120">
        <v>1592.8</v>
      </c>
    </row>
    <row r="797" spans="1:7" ht="30" x14ac:dyDescent="0.25">
      <c r="A797" s="1" t="s">
        <v>21</v>
      </c>
      <c r="B797" s="15" t="s">
        <v>180</v>
      </c>
      <c r="C797" s="16" t="s">
        <v>188</v>
      </c>
      <c r="D797" s="17">
        <v>200</v>
      </c>
      <c r="E797" s="120">
        <f>4864.5+812.9-1078.2-336.5-427.5-624.4-335.7</f>
        <v>2875.1</v>
      </c>
      <c r="F797" s="120">
        <v>4765.5</v>
      </c>
      <c r="G797" s="120">
        <v>4765.5</v>
      </c>
    </row>
    <row r="798" spans="1:7" ht="30" x14ac:dyDescent="0.25">
      <c r="A798" s="82" t="s">
        <v>189</v>
      </c>
      <c r="B798" s="15" t="s">
        <v>180</v>
      </c>
      <c r="C798" s="16" t="s">
        <v>190</v>
      </c>
      <c r="D798" s="17"/>
      <c r="E798" s="20">
        <f>E799</f>
        <v>481.99999999999989</v>
      </c>
      <c r="F798" s="20">
        <f t="shared" ref="F798:G798" si="300">F799</f>
        <v>1650</v>
      </c>
      <c r="G798" s="20">
        <f t="shared" si="300"/>
        <v>1650</v>
      </c>
    </row>
    <row r="799" spans="1:7" ht="30" x14ac:dyDescent="0.25">
      <c r="A799" s="1" t="s">
        <v>21</v>
      </c>
      <c r="B799" s="15" t="s">
        <v>180</v>
      </c>
      <c r="C799" s="16" t="s">
        <v>190</v>
      </c>
      <c r="D799" s="83">
        <v>200</v>
      </c>
      <c r="E799" s="120">
        <f>1650-10.2-1157.9+0.1</f>
        <v>481.99999999999989</v>
      </c>
      <c r="F799" s="120">
        <v>1650</v>
      </c>
      <c r="G799" s="120">
        <v>1650</v>
      </c>
    </row>
    <row r="800" spans="1:7" x14ac:dyDescent="0.25">
      <c r="A800" s="77" t="s">
        <v>191</v>
      </c>
      <c r="B800" s="15" t="s">
        <v>180</v>
      </c>
      <c r="C800" s="16" t="s">
        <v>192</v>
      </c>
      <c r="D800" s="83"/>
      <c r="E800" s="20">
        <f>E802+E801</f>
        <v>5551.7999999999993</v>
      </c>
      <c r="F800" s="20">
        <f t="shared" ref="F800:G800" si="301">F802+F801</f>
        <v>1800</v>
      </c>
      <c r="G800" s="20">
        <f t="shared" si="301"/>
        <v>1800</v>
      </c>
    </row>
    <row r="801" spans="1:7" x14ac:dyDescent="0.25">
      <c r="A801" s="65" t="s">
        <v>29</v>
      </c>
      <c r="B801" s="15" t="s">
        <v>180</v>
      </c>
      <c r="C801" s="16" t="s">
        <v>192</v>
      </c>
      <c r="D801" s="87">
        <v>300</v>
      </c>
      <c r="E801" s="120">
        <f>500-1.6</f>
        <v>498.4</v>
      </c>
      <c r="F801" s="120">
        <v>0</v>
      </c>
      <c r="G801" s="120">
        <v>0</v>
      </c>
    </row>
    <row r="802" spans="1:7" ht="30" x14ac:dyDescent="0.25">
      <c r="A802" s="1" t="s">
        <v>56</v>
      </c>
      <c r="B802" s="15" t="s">
        <v>180</v>
      </c>
      <c r="C802" s="16" t="s">
        <v>192</v>
      </c>
      <c r="D802" s="87">
        <v>600</v>
      </c>
      <c r="E802" s="120">
        <f>1800+678+558+300+1717.4</f>
        <v>5053.3999999999996</v>
      </c>
      <c r="F802" s="120">
        <v>1800</v>
      </c>
      <c r="G802" s="120">
        <v>1800</v>
      </c>
    </row>
    <row r="803" spans="1:7" ht="30" x14ac:dyDescent="0.25">
      <c r="A803" s="65" t="s">
        <v>193</v>
      </c>
      <c r="B803" s="15" t="s">
        <v>180</v>
      </c>
      <c r="C803" s="16" t="s">
        <v>194</v>
      </c>
      <c r="D803" s="17"/>
      <c r="E803" s="20">
        <f>E804+E805</f>
        <v>305.60000000000002</v>
      </c>
      <c r="F803" s="20">
        <f t="shared" ref="F803:G803" si="302">F804</f>
        <v>330</v>
      </c>
      <c r="G803" s="20">
        <f t="shared" si="302"/>
        <v>330</v>
      </c>
    </row>
    <row r="804" spans="1:7" s="13" customFormat="1" ht="36.75" customHeight="1" x14ac:dyDescent="0.25">
      <c r="A804" s="65" t="s">
        <v>21</v>
      </c>
      <c r="B804" s="15" t="s">
        <v>180</v>
      </c>
      <c r="C804" s="16" t="s">
        <v>194</v>
      </c>
      <c r="D804" s="17">
        <v>200</v>
      </c>
      <c r="E804" s="120">
        <f>330-24.4</f>
        <v>305.60000000000002</v>
      </c>
      <c r="F804" s="120">
        <v>330</v>
      </c>
      <c r="G804" s="120">
        <v>330</v>
      </c>
    </row>
    <row r="805" spans="1:7" s="13" customFormat="1" ht="36.75" customHeight="1" x14ac:dyDescent="0.25">
      <c r="A805" s="65" t="s">
        <v>56</v>
      </c>
      <c r="B805" s="15" t="s">
        <v>180</v>
      </c>
      <c r="C805" s="16" t="s">
        <v>194</v>
      </c>
      <c r="D805" s="17">
        <v>600</v>
      </c>
      <c r="E805" s="120">
        <f>50-50</f>
        <v>0</v>
      </c>
      <c r="F805" s="120">
        <v>0</v>
      </c>
      <c r="G805" s="120">
        <v>0</v>
      </c>
    </row>
    <row r="806" spans="1:7" s="156" customFormat="1" ht="36.75" customHeight="1" x14ac:dyDescent="0.25">
      <c r="A806" s="65" t="s">
        <v>718</v>
      </c>
      <c r="B806" s="16" t="s">
        <v>174</v>
      </c>
      <c r="C806" s="16" t="s">
        <v>720</v>
      </c>
      <c r="D806" s="17"/>
      <c r="E806" s="120">
        <f>E807</f>
        <v>0</v>
      </c>
      <c r="F806" s="120">
        <f t="shared" ref="F806:G806" si="303">F807</f>
        <v>0</v>
      </c>
      <c r="G806" s="120">
        <f t="shared" si="303"/>
        <v>0</v>
      </c>
    </row>
    <row r="807" spans="1:7" s="13" customFormat="1" ht="30" x14ac:dyDescent="0.25">
      <c r="A807" s="65" t="s">
        <v>559</v>
      </c>
      <c r="B807" s="15" t="s">
        <v>180</v>
      </c>
      <c r="C807" s="16" t="s">
        <v>524</v>
      </c>
      <c r="D807" s="17"/>
      <c r="E807" s="120">
        <f>E808</f>
        <v>0</v>
      </c>
      <c r="F807" s="120">
        <f>F808</f>
        <v>0</v>
      </c>
      <c r="G807" s="120">
        <f>G808</f>
        <v>0</v>
      </c>
    </row>
    <row r="808" spans="1:7" s="13" customFormat="1" ht="30" x14ac:dyDescent="0.25">
      <c r="A808" s="65" t="s">
        <v>21</v>
      </c>
      <c r="B808" s="15" t="s">
        <v>180</v>
      </c>
      <c r="C808" s="16" t="s">
        <v>524</v>
      </c>
      <c r="D808" s="17">
        <v>200</v>
      </c>
      <c r="E808" s="120">
        <v>0</v>
      </c>
      <c r="F808" s="120">
        <f>2810.8+243-243-2810.8</f>
        <v>0</v>
      </c>
      <c r="G808" s="120">
        <v>0</v>
      </c>
    </row>
    <row r="809" spans="1:7" x14ac:dyDescent="0.25">
      <c r="A809" s="119" t="s">
        <v>195</v>
      </c>
      <c r="B809" s="24" t="s">
        <v>196</v>
      </c>
      <c r="C809" s="24"/>
      <c r="D809" s="25"/>
      <c r="E809" s="12">
        <f>SUM(E810)</f>
        <v>29086</v>
      </c>
      <c r="F809" s="12">
        <f t="shared" ref="F809:G809" si="304">SUM(F810)</f>
        <v>27981.8</v>
      </c>
      <c r="G809" s="12">
        <f t="shared" si="304"/>
        <v>26608.7</v>
      </c>
    </row>
    <row r="810" spans="1:7" x14ac:dyDescent="0.25">
      <c r="A810" s="80" t="s">
        <v>197</v>
      </c>
      <c r="B810" s="24" t="s">
        <v>198</v>
      </c>
      <c r="C810" s="24"/>
      <c r="D810" s="25"/>
      <c r="E810" s="12">
        <f>SUM(E811)</f>
        <v>29086</v>
      </c>
      <c r="F810" s="12">
        <f t="shared" ref="F810:G811" si="305">SUM(F811)</f>
        <v>27981.8</v>
      </c>
      <c r="G810" s="12">
        <f t="shared" si="305"/>
        <v>26608.7</v>
      </c>
    </row>
    <row r="811" spans="1:7" x14ac:dyDescent="0.25">
      <c r="A811" s="91" t="s">
        <v>10</v>
      </c>
      <c r="B811" s="86" t="s">
        <v>198</v>
      </c>
      <c r="C811" s="86" t="s">
        <v>11</v>
      </c>
      <c r="D811" s="83"/>
      <c r="E811" s="20">
        <f>SUM(E812)</f>
        <v>29086</v>
      </c>
      <c r="F811" s="20">
        <f t="shared" si="305"/>
        <v>27981.8</v>
      </c>
      <c r="G811" s="20">
        <f t="shared" si="305"/>
        <v>26608.7</v>
      </c>
    </row>
    <row r="812" spans="1:7" ht="30" x14ac:dyDescent="0.25">
      <c r="A812" s="82" t="s">
        <v>55</v>
      </c>
      <c r="B812" s="86" t="s">
        <v>198</v>
      </c>
      <c r="C812" s="86" t="s">
        <v>52</v>
      </c>
      <c r="D812" s="86"/>
      <c r="E812" s="20">
        <f>E813</f>
        <v>29086</v>
      </c>
      <c r="F812" s="20">
        <f t="shared" ref="F812:G812" si="306">F813</f>
        <v>27981.8</v>
      </c>
      <c r="G812" s="20">
        <f t="shared" si="306"/>
        <v>26608.7</v>
      </c>
    </row>
    <row r="813" spans="1:7" ht="30" x14ac:dyDescent="0.25">
      <c r="A813" s="82" t="s">
        <v>56</v>
      </c>
      <c r="B813" s="86" t="s">
        <v>198</v>
      </c>
      <c r="C813" s="86" t="s">
        <v>52</v>
      </c>
      <c r="D813" s="87">
        <v>600</v>
      </c>
      <c r="E813" s="120">
        <f>28817+599.4+1269.8-823-777.2</f>
        <v>29086</v>
      </c>
      <c r="F813" s="120">
        <v>27981.8</v>
      </c>
      <c r="G813" s="120">
        <v>26608.7</v>
      </c>
    </row>
    <row r="814" spans="1:7" ht="17.25" customHeight="1" x14ac:dyDescent="0.25">
      <c r="A814" s="9" t="s">
        <v>203</v>
      </c>
      <c r="B814" s="10" t="s">
        <v>199</v>
      </c>
      <c r="C814" s="14"/>
      <c r="D814" s="11"/>
      <c r="E814" s="12">
        <f>E815</f>
        <v>69092.100000000006</v>
      </c>
      <c r="F814" s="12">
        <f t="shared" ref="F814:G817" si="307">F815</f>
        <v>82731.099999999991</v>
      </c>
      <c r="G814" s="12">
        <f t="shared" si="307"/>
        <v>51317.200000000004</v>
      </c>
    </row>
    <row r="815" spans="1:7" ht="18" customHeight="1" x14ac:dyDescent="0.25">
      <c r="A815" s="9" t="s">
        <v>706</v>
      </c>
      <c r="B815" s="10" t="s">
        <v>200</v>
      </c>
      <c r="C815" s="14"/>
      <c r="D815" s="11"/>
      <c r="E815" s="12">
        <f>E816</f>
        <v>69092.100000000006</v>
      </c>
      <c r="F815" s="12">
        <f t="shared" si="307"/>
        <v>82731.099999999991</v>
      </c>
      <c r="G815" s="12">
        <f t="shared" si="307"/>
        <v>51317.200000000004</v>
      </c>
    </row>
    <row r="816" spans="1:7" x14ac:dyDescent="0.25">
      <c r="A816" s="1" t="s">
        <v>10</v>
      </c>
      <c r="B816" s="15" t="s">
        <v>200</v>
      </c>
      <c r="C816" s="16" t="s">
        <v>11</v>
      </c>
      <c r="D816" s="17"/>
      <c r="E816" s="58">
        <f>E817+E819</f>
        <v>69092.100000000006</v>
      </c>
      <c r="F816" s="58">
        <f t="shared" ref="F816:G816" si="308">F817+F819</f>
        <v>82731.099999999991</v>
      </c>
      <c r="G816" s="58">
        <f t="shared" si="308"/>
        <v>51317.200000000004</v>
      </c>
    </row>
    <row r="817" spans="1:7" x14ac:dyDescent="0.25">
      <c r="A817" s="1" t="s">
        <v>201</v>
      </c>
      <c r="B817" s="15" t="s">
        <v>200</v>
      </c>
      <c r="C817" s="16" t="s">
        <v>202</v>
      </c>
      <c r="D817" s="17"/>
      <c r="E817" s="58">
        <f>E818</f>
        <v>48735.799999999996</v>
      </c>
      <c r="F817" s="58">
        <f t="shared" si="307"/>
        <v>67914.2</v>
      </c>
      <c r="G817" s="58">
        <f t="shared" si="307"/>
        <v>37085.599999999999</v>
      </c>
    </row>
    <row r="818" spans="1:7" x14ac:dyDescent="0.25">
      <c r="A818" s="1" t="s">
        <v>203</v>
      </c>
      <c r="B818" s="15" t="s">
        <v>200</v>
      </c>
      <c r="C818" s="16" t="s">
        <v>202</v>
      </c>
      <c r="D818" s="17">
        <v>700</v>
      </c>
      <c r="E818" s="59">
        <f>62941.1-1595.3-16500+6690-2800</f>
        <v>48735.799999999996</v>
      </c>
      <c r="F818" s="59">
        <f>65739.6-3170.8+5345.4-28770.9+28770.9</f>
        <v>67914.2</v>
      </c>
      <c r="G818" s="20">
        <f>35283.8-4128.9+5930.7-20358.9+20358.9</f>
        <v>37085.599999999999</v>
      </c>
    </row>
    <row r="819" spans="1:7" ht="45" x14ac:dyDescent="0.25">
      <c r="A819" s="65" t="s">
        <v>707</v>
      </c>
      <c r="B819" s="15" t="s">
        <v>200</v>
      </c>
      <c r="C819" s="16" t="s">
        <v>420</v>
      </c>
      <c r="D819" s="17"/>
      <c r="E819" s="59">
        <f>E820</f>
        <v>20356.300000000003</v>
      </c>
      <c r="F819" s="59">
        <f>F820</f>
        <v>14816.9</v>
      </c>
      <c r="G819" s="20">
        <f>G820</f>
        <v>14231.600000000006</v>
      </c>
    </row>
    <row r="820" spans="1:7" x14ac:dyDescent="0.25">
      <c r="A820" s="1" t="s">
        <v>203</v>
      </c>
      <c r="B820" s="15" t="s">
        <v>200</v>
      </c>
      <c r="C820" s="16" t="s">
        <v>420</v>
      </c>
      <c r="D820" s="17">
        <v>700</v>
      </c>
      <c r="E820" s="120">
        <f>20336.2+1.2+18.9</f>
        <v>20356.300000000003</v>
      </c>
      <c r="F820" s="120">
        <f>20162.3-5345.4</f>
        <v>14816.9</v>
      </c>
      <c r="G820" s="120">
        <f>34926+20162.3-5930.7-34926</f>
        <v>14231.600000000006</v>
      </c>
    </row>
    <row r="821" spans="1:7" s="13" customFormat="1" ht="16.5" customHeight="1" x14ac:dyDescent="0.25">
      <c r="A821" s="56" t="s">
        <v>419</v>
      </c>
      <c r="B821" s="19"/>
      <c r="C821" s="16"/>
      <c r="D821" s="27"/>
      <c r="E821" s="18"/>
      <c r="F821" s="136">
        <f>86205.1+71.6-1527.5</f>
        <v>84749.200000000012</v>
      </c>
      <c r="G821" s="136">
        <f>173879.5+143.2-3354.8</f>
        <v>170667.90000000002</v>
      </c>
    </row>
    <row r="822" spans="1:7" s="13" customFormat="1" ht="15.75" x14ac:dyDescent="0.25">
      <c r="A822" s="53"/>
      <c r="B822" s="19"/>
      <c r="C822" s="16"/>
      <c r="D822" s="27"/>
      <c r="E822" s="18"/>
      <c r="F822" s="20"/>
      <c r="G822" s="20"/>
    </row>
    <row r="823" spans="1:7" x14ac:dyDescent="0.25">
      <c r="A823" s="9" t="s">
        <v>375</v>
      </c>
      <c r="B823" s="14"/>
      <c r="C823" s="14"/>
      <c r="D823" s="28"/>
      <c r="E823" s="12">
        <f>E14+E110+E119+E154+E275+E463+E663+E775+E809+E814+E709+E822</f>
        <v>10830597</v>
      </c>
      <c r="F823" s="12">
        <f>F14+F110+F119+F154+F275+F463+F663+F775+F809+F814+F709+F822+F821</f>
        <v>8729772.5999999996</v>
      </c>
      <c r="G823" s="12">
        <f>G14+G110+G119+G154+G275+G463+G663+G775+G809+G814+G709+G822+G821</f>
        <v>7812460.0999999996</v>
      </c>
    </row>
    <row r="824" spans="1:7" x14ac:dyDescent="0.25">
      <c r="A824" s="29"/>
      <c r="B824" s="16"/>
      <c r="C824" s="16"/>
      <c r="D824" s="27"/>
      <c r="E824" s="30"/>
      <c r="G824" s="143" t="s">
        <v>693</v>
      </c>
    </row>
    <row r="825" spans="1:7" x14ac:dyDescent="0.25">
      <c r="A825" s="9"/>
      <c r="B825" s="14"/>
      <c r="C825" s="11"/>
      <c r="D825" s="33"/>
      <c r="E825" s="55"/>
      <c r="F825" s="55"/>
      <c r="G825" s="55"/>
    </row>
    <row r="826" spans="1:7" x14ac:dyDescent="0.25">
      <c r="A826" s="1"/>
      <c r="B826" s="16"/>
      <c r="C826" s="17"/>
      <c r="D826" s="27"/>
      <c r="E826" s="30"/>
      <c r="F826" s="30"/>
      <c r="G826" s="30"/>
    </row>
    <row r="827" spans="1:7" x14ac:dyDescent="0.25">
      <c r="A827" s="34"/>
      <c r="B827" s="16"/>
      <c r="C827" s="17"/>
      <c r="D827" s="27"/>
      <c r="E827" s="30"/>
      <c r="F827" s="30"/>
      <c r="G827" s="30"/>
    </row>
    <row r="828" spans="1:7" x14ac:dyDescent="0.25">
      <c r="A828" s="35"/>
      <c r="B828" s="16"/>
      <c r="C828" s="17"/>
      <c r="D828" s="27"/>
      <c r="G828" s="30"/>
    </row>
    <row r="829" spans="1:7" x14ac:dyDescent="0.25">
      <c r="A829" s="23"/>
      <c r="B829" s="16"/>
      <c r="C829" s="17"/>
      <c r="D829" s="27"/>
    </row>
    <row r="830" spans="1:7" x14ac:dyDescent="0.25">
      <c r="A830" s="29"/>
      <c r="B830" s="16"/>
      <c r="C830" s="17"/>
      <c r="D830" s="27"/>
    </row>
    <row r="831" spans="1:7" x14ac:dyDescent="0.25">
      <c r="A831" s="36"/>
      <c r="B831" s="37"/>
      <c r="C831" s="25"/>
      <c r="D831" s="33"/>
    </row>
    <row r="832" spans="1:7" x14ac:dyDescent="0.25">
      <c r="A832" s="38"/>
      <c r="B832" s="14"/>
      <c r="C832" s="11"/>
      <c r="D832" s="33"/>
    </row>
    <row r="833" spans="1:5" x14ac:dyDescent="0.25">
      <c r="A833" s="29"/>
      <c r="B833" s="16"/>
      <c r="C833" s="17"/>
      <c r="D833" s="27"/>
    </row>
    <row r="834" spans="1:5" x14ac:dyDescent="0.25">
      <c r="A834" s="29"/>
      <c r="B834" s="16"/>
      <c r="C834" s="17"/>
      <c r="D834" s="27"/>
    </row>
    <row r="835" spans="1:5" x14ac:dyDescent="0.25">
      <c r="A835" s="29"/>
      <c r="B835" s="16"/>
      <c r="C835" s="17"/>
      <c r="D835" s="27"/>
    </row>
    <row r="836" spans="1:5" x14ac:dyDescent="0.25">
      <c r="A836" s="38"/>
      <c r="B836" s="14"/>
      <c r="C836" s="11"/>
      <c r="D836" s="33"/>
      <c r="E836" s="13"/>
    </row>
    <row r="837" spans="1:5" x14ac:dyDescent="0.25">
      <c r="A837" s="29"/>
      <c r="B837" s="16"/>
      <c r="C837" s="17"/>
      <c r="D837" s="27"/>
    </row>
    <row r="838" spans="1:5" x14ac:dyDescent="0.25">
      <c r="A838" s="29"/>
      <c r="B838" s="16"/>
      <c r="C838" s="17"/>
      <c r="D838" s="27"/>
    </row>
    <row r="839" spans="1:5" x14ac:dyDescent="0.25">
      <c r="A839" s="29"/>
      <c r="B839" s="16"/>
      <c r="C839" s="17"/>
      <c r="D839" s="27"/>
    </row>
    <row r="840" spans="1:5" x14ac:dyDescent="0.25">
      <c r="A840" s="29"/>
      <c r="B840" s="16"/>
      <c r="C840" s="17"/>
      <c r="D840" s="27"/>
    </row>
    <row r="841" spans="1:5" x14ac:dyDescent="0.25">
      <c r="A841" s="29"/>
      <c r="B841" s="16"/>
      <c r="C841" s="17"/>
      <c r="D841" s="27"/>
    </row>
    <row r="842" spans="1:5" x14ac:dyDescent="0.25">
      <c r="A842" s="32"/>
      <c r="B842" s="16"/>
      <c r="C842" s="17"/>
      <c r="D842" s="27"/>
    </row>
    <row r="843" spans="1:5" x14ac:dyDescent="0.25">
      <c r="A843" s="29"/>
      <c r="B843" s="16"/>
      <c r="C843" s="17"/>
      <c r="D843" s="27"/>
    </row>
    <row r="844" spans="1:5" x14ac:dyDescent="0.25">
      <c r="A844" s="29"/>
      <c r="B844" s="16"/>
      <c r="C844" s="17"/>
      <c r="D844" s="27"/>
    </row>
    <row r="845" spans="1:5" x14ac:dyDescent="0.25">
      <c r="A845" s="29"/>
      <c r="B845" s="16"/>
      <c r="C845" s="17"/>
      <c r="D845" s="27"/>
    </row>
    <row r="846" spans="1:5" x14ac:dyDescent="0.25">
      <c r="A846" s="29"/>
      <c r="B846" s="16"/>
      <c r="C846" s="17"/>
      <c r="D846" s="27"/>
    </row>
    <row r="847" spans="1:5" x14ac:dyDescent="0.25">
      <c r="A847" s="29"/>
      <c r="B847" s="16"/>
      <c r="C847" s="17"/>
      <c r="D847" s="27"/>
    </row>
    <row r="848" spans="1:5" x14ac:dyDescent="0.25">
      <c r="A848" s="29"/>
      <c r="B848" s="16"/>
      <c r="C848" s="17"/>
      <c r="D848" s="27"/>
    </row>
    <row r="849" spans="1:4" x14ac:dyDescent="0.25">
      <c r="A849" s="34"/>
      <c r="B849" s="16"/>
      <c r="C849" s="17"/>
      <c r="D849" s="27"/>
    </row>
    <row r="850" spans="1:4" x14ac:dyDescent="0.25">
      <c r="A850" s="39"/>
      <c r="B850" s="16"/>
      <c r="C850" s="17"/>
      <c r="D850" s="27"/>
    </row>
    <row r="851" spans="1:4" x14ac:dyDescent="0.25">
      <c r="A851" s="1"/>
      <c r="B851" s="16"/>
      <c r="C851" s="17"/>
      <c r="D851" s="27"/>
    </row>
    <row r="852" spans="1:4" x14ac:dyDescent="0.25">
      <c r="A852" s="40"/>
      <c r="B852" s="41"/>
      <c r="C852" s="22"/>
      <c r="D852" s="27"/>
    </row>
    <row r="853" spans="1:4" x14ac:dyDescent="0.25">
      <c r="A853" s="40"/>
      <c r="B853" s="41"/>
      <c r="C853" s="22"/>
      <c r="D853" s="27"/>
    </row>
    <row r="854" spans="1:4" x14ac:dyDescent="0.25">
      <c r="A854" s="40"/>
      <c r="B854" s="41"/>
      <c r="C854" s="22"/>
      <c r="D854" s="27"/>
    </row>
    <row r="855" spans="1:4" x14ac:dyDescent="0.25">
      <c r="A855" s="29"/>
      <c r="B855" s="41"/>
      <c r="C855" s="22"/>
      <c r="D855" s="27"/>
    </row>
    <row r="856" spans="1:4" x14ac:dyDescent="0.25">
      <c r="A856" s="40"/>
      <c r="B856" s="41"/>
      <c r="C856" s="22"/>
      <c r="D856" s="27"/>
    </row>
    <row r="857" spans="1:4" x14ac:dyDescent="0.25">
      <c r="A857" s="39"/>
      <c r="B857" s="21"/>
      <c r="C857" s="22"/>
      <c r="D857" s="27"/>
    </row>
    <row r="858" spans="1:4" x14ac:dyDescent="0.25">
      <c r="A858" s="29"/>
      <c r="B858" s="21"/>
      <c r="C858" s="22"/>
      <c r="D858" s="27"/>
    </row>
    <row r="859" spans="1:4" x14ac:dyDescent="0.25">
      <c r="A859" s="40"/>
      <c r="B859" s="41"/>
      <c r="C859" s="22"/>
      <c r="D859" s="27"/>
    </row>
    <row r="860" spans="1:4" x14ac:dyDescent="0.25">
      <c r="A860" s="42"/>
      <c r="B860" s="41"/>
      <c r="C860" s="22"/>
      <c r="D860" s="27"/>
    </row>
    <row r="861" spans="1:4" x14ac:dyDescent="0.25">
      <c r="A861" s="42"/>
      <c r="B861" s="41"/>
      <c r="C861" s="22"/>
      <c r="D861" s="27"/>
    </row>
    <row r="862" spans="1:4" x14ac:dyDescent="0.25">
      <c r="A862" s="42"/>
      <c r="B862" s="41"/>
      <c r="C862" s="22"/>
      <c r="D862" s="27"/>
    </row>
    <row r="863" spans="1:4" x14ac:dyDescent="0.25">
      <c r="A863" s="43"/>
      <c r="B863" s="21"/>
      <c r="C863" s="22"/>
      <c r="D863" s="27"/>
    </row>
    <row r="864" spans="1:4" x14ac:dyDescent="0.25">
      <c r="A864" s="42"/>
      <c r="B864" s="21"/>
      <c r="C864" s="22"/>
      <c r="D864" s="27"/>
    </row>
    <row r="865" spans="1:4" x14ac:dyDescent="0.25">
      <c r="A865" s="36"/>
      <c r="B865" s="37"/>
      <c r="C865" s="24"/>
      <c r="D865" s="33"/>
    </row>
    <row r="866" spans="1:4" x14ac:dyDescent="0.25">
      <c r="A866" s="29"/>
      <c r="B866" s="16"/>
      <c r="C866" s="24"/>
      <c r="D866" s="27"/>
    </row>
    <row r="867" spans="1:4" x14ac:dyDescent="0.25">
      <c r="A867" s="31"/>
      <c r="B867" s="16"/>
      <c r="C867" s="21"/>
      <c r="D867" s="27"/>
    </row>
    <row r="868" spans="1:4" x14ac:dyDescent="0.25">
      <c r="A868" s="43"/>
      <c r="B868" s="16"/>
      <c r="C868" s="21"/>
      <c r="D868" s="27"/>
    </row>
    <row r="869" spans="1:4" x14ac:dyDescent="0.25">
      <c r="A869" s="23"/>
      <c r="B869" s="16"/>
      <c r="C869" s="21"/>
      <c r="D869" s="27"/>
    </row>
    <row r="870" spans="1:4" x14ac:dyDescent="0.25">
      <c r="A870" s="29"/>
      <c r="B870" s="16"/>
      <c r="C870" s="21"/>
      <c r="D870" s="27"/>
    </row>
    <row r="871" spans="1:4" x14ac:dyDescent="0.25">
      <c r="A871" s="42"/>
      <c r="B871" s="16"/>
      <c r="C871" s="21"/>
      <c r="D871" s="27"/>
    </row>
    <row r="872" spans="1:4" x14ac:dyDescent="0.25">
      <c r="A872" s="29"/>
      <c r="B872" s="16"/>
      <c r="C872" s="15"/>
      <c r="D872" s="27"/>
    </row>
    <row r="873" spans="1:4" x14ac:dyDescent="0.25">
      <c r="A873" s="32"/>
      <c r="B873" s="16"/>
      <c r="C873" s="15"/>
      <c r="D873" s="27"/>
    </row>
    <row r="874" spans="1:4" x14ac:dyDescent="0.25">
      <c r="A874" s="31"/>
      <c r="B874" s="16"/>
      <c r="C874" s="17"/>
      <c r="D874" s="27"/>
    </row>
    <row r="875" spans="1:4" x14ac:dyDescent="0.25">
      <c r="A875" s="29"/>
      <c r="B875" s="16"/>
      <c r="C875" s="17"/>
      <c r="D875" s="27"/>
    </row>
    <row r="876" spans="1:4" x14ac:dyDescent="0.25">
      <c r="A876" s="32"/>
      <c r="B876" s="16"/>
      <c r="C876" s="15"/>
      <c r="D876" s="27"/>
    </row>
    <row r="877" spans="1:4" x14ac:dyDescent="0.25">
      <c r="A877" s="26"/>
      <c r="B877" s="16"/>
      <c r="C877" s="17"/>
      <c r="D877" s="27"/>
    </row>
    <row r="878" spans="1:4" x14ac:dyDescent="0.25">
      <c r="A878" s="1"/>
      <c r="B878" s="16"/>
      <c r="C878" s="17"/>
      <c r="D878" s="27"/>
    </row>
    <row r="879" spans="1:4" x14ac:dyDescent="0.25">
      <c r="A879" s="29"/>
      <c r="B879" s="16"/>
      <c r="C879" s="17"/>
      <c r="D879" s="27"/>
    </row>
    <row r="880" spans="1:4" x14ac:dyDescent="0.25">
      <c r="A880" s="44"/>
      <c r="B880" s="16"/>
      <c r="C880" s="17"/>
      <c r="D880" s="27"/>
    </row>
    <row r="881" spans="1:4" x14ac:dyDescent="0.25">
      <c r="A881" s="1"/>
      <c r="B881" s="16"/>
      <c r="C881" s="17"/>
      <c r="D881" s="27"/>
    </row>
    <row r="882" spans="1:4" x14ac:dyDescent="0.25">
      <c r="A882" s="29"/>
      <c r="B882" s="16"/>
      <c r="C882" s="17"/>
      <c r="D882" s="27"/>
    </row>
    <row r="883" spans="1:4" x14ac:dyDescent="0.25">
      <c r="A883" s="44"/>
      <c r="B883" s="16"/>
      <c r="C883" s="17"/>
      <c r="D883" s="27"/>
    </row>
    <row r="884" spans="1:4" x14ac:dyDescent="0.25">
      <c r="A884" s="1"/>
      <c r="B884" s="16"/>
      <c r="C884" s="17"/>
      <c r="D884" s="27"/>
    </row>
    <row r="885" spans="1:4" x14ac:dyDescent="0.25">
      <c r="A885" s="29"/>
      <c r="B885" s="16"/>
      <c r="C885" s="17"/>
      <c r="D885" s="27"/>
    </row>
    <row r="886" spans="1:4" x14ac:dyDescent="0.25">
      <c r="A886" s="38"/>
      <c r="B886" s="14"/>
      <c r="C886" s="11"/>
      <c r="D886" s="33"/>
    </row>
    <row r="887" spans="1:4" x14ac:dyDescent="0.25">
      <c r="A887" s="38"/>
      <c r="B887" s="14"/>
      <c r="C887" s="11"/>
      <c r="D887" s="33"/>
    </row>
    <row r="888" spans="1:4" x14ac:dyDescent="0.25">
      <c r="A888" s="29"/>
      <c r="B888" s="16"/>
      <c r="C888" s="17"/>
      <c r="D888" s="27"/>
    </row>
    <row r="889" spans="1:4" x14ac:dyDescent="0.25">
      <c r="A889" s="32"/>
      <c r="B889" s="16"/>
      <c r="C889" s="17"/>
      <c r="D889" s="27"/>
    </row>
    <row r="890" spans="1:4" x14ac:dyDescent="0.25">
      <c r="A890" s="29"/>
      <c r="B890" s="16"/>
      <c r="C890" s="17"/>
      <c r="D890" s="27"/>
    </row>
    <row r="891" spans="1:4" x14ac:dyDescent="0.25">
      <c r="A891" s="38"/>
      <c r="B891" s="14"/>
      <c r="C891" s="11"/>
      <c r="D891" s="33"/>
    </row>
    <row r="892" spans="1:4" x14ac:dyDescent="0.25">
      <c r="A892" s="29"/>
      <c r="B892" s="16"/>
      <c r="C892" s="17"/>
      <c r="D892" s="27"/>
    </row>
    <row r="893" spans="1:4" x14ac:dyDescent="0.25">
      <c r="A893" s="29"/>
      <c r="B893" s="16"/>
      <c r="C893" s="17"/>
      <c r="D893" s="27"/>
    </row>
    <row r="894" spans="1:4" x14ac:dyDescent="0.25">
      <c r="A894" s="29"/>
      <c r="B894" s="16"/>
      <c r="C894" s="17"/>
      <c r="D894" s="27"/>
    </row>
    <row r="895" spans="1:4" x14ac:dyDescent="0.25">
      <c r="A895" s="29"/>
      <c r="B895" s="16"/>
      <c r="C895" s="17"/>
      <c r="D895" s="27"/>
    </row>
    <row r="896" spans="1:4" x14ac:dyDescent="0.25">
      <c r="A896" s="29"/>
      <c r="B896" s="16"/>
      <c r="C896" s="17"/>
      <c r="D896" s="27"/>
    </row>
    <row r="897" spans="1:4" x14ac:dyDescent="0.25">
      <c r="A897" s="29"/>
      <c r="B897" s="16"/>
      <c r="C897" s="17"/>
      <c r="D897" s="27"/>
    </row>
    <row r="898" spans="1:4" x14ac:dyDescent="0.25">
      <c r="A898" s="29"/>
      <c r="B898" s="16"/>
      <c r="C898" s="17"/>
      <c r="D898" s="27"/>
    </row>
    <row r="899" spans="1:4" x14ac:dyDescent="0.25">
      <c r="A899" s="1"/>
      <c r="B899" s="16"/>
      <c r="C899" s="17"/>
      <c r="D899" s="27"/>
    </row>
    <row r="900" spans="1:4" x14ac:dyDescent="0.25">
      <c r="A900" s="23"/>
      <c r="B900" s="16"/>
      <c r="C900" s="17"/>
      <c r="D900" s="27"/>
    </row>
    <row r="901" spans="1:4" x14ac:dyDescent="0.25">
      <c r="A901" s="29"/>
      <c r="B901" s="16"/>
      <c r="C901" s="17"/>
      <c r="D901" s="27"/>
    </row>
    <row r="902" spans="1:4" x14ac:dyDescent="0.25">
      <c r="A902" s="29"/>
      <c r="B902" s="16"/>
      <c r="C902" s="17"/>
      <c r="D902" s="27"/>
    </row>
    <row r="903" spans="1:4" x14ac:dyDescent="0.25">
      <c r="A903" s="45"/>
      <c r="B903" s="37"/>
      <c r="C903" s="25"/>
      <c r="D903" s="33"/>
    </row>
    <row r="904" spans="1:4" x14ac:dyDescent="0.25">
      <c r="A904" s="36"/>
      <c r="B904" s="37"/>
      <c r="C904" s="25"/>
      <c r="D904" s="33"/>
    </row>
    <row r="905" spans="1:4" x14ac:dyDescent="0.25">
      <c r="A905" s="46"/>
      <c r="B905" s="41"/>
      <c r="C905" s="22"/>
      <c r="D905" s="27"/>
    </row>
    <row r="906" spans="1:4" x14ac:dyDescent="0.25">
      <c r="A906" s="42"/>
      <c r="B906" s="41"/>
      <c r="C906" s="22"/>
      <c r="D906" s="27"/>
    </row>
    <row r="907" spans="1:4" x14ac:dyDescent="0.25">
      <c r="A907" s="42"/>
      <c r="B907" s="41"/>
      <c r="C907" s="22"/>
      <c r="D907" s="27"/>
    </row>
    <row r="908" spans="1:4" x14ac:dyDescent="0.25">
      <c r="A908" s="36"/>
      <c r="B908" s="37"/>
      <c r="C908" s="25"/>
      <c r="D908" s="33"/>
    </row>
    <row r="909" spans="1:4" x14ac:dyDescent="0.25">
      <c r="A909" s="46"/>
      <c r="B909" s="41"/>
      <c r="C909" s="22"/>
      <c r="D909" s="27"/>
    </row>
    <row r="910" spans="1:4" x14ac:dyDescent="0.25">
      <c r="A910" s="40"/>
      <c r="B910" s="41"/>
      <c r="C910" s="22"/>
      <c r="D910" s="27"/>
    </row>
    <row r="911" spans="1:4" x14ac:dyDescent="0.25">
      <c r="A911" s="42"/>
      <c r="B911" s="41"/>
      <c r="C911" s="22"/>
      <c r="D911" s="27"/>
    </row>
    <row r="912" spans="1:4" x14ac:dyDescent="0.25">
      <c r="A912" s="38"/>
      <c r="B912" s="14"/>
      <c r="C912" s="11"/>
      <c r="D912" s="33"/>
    </row>
    <row r="913" spans="1:7" x14ac:dyDescent="0.25">
      <c r="A913" s="38"/>
      <c r="B913" s="14"/>
      <c r="C913" s="11"/>
      <c r="D913" s="33"/>
    </row>
    <row r="914" spans="1:7" x14ac:dyDescent="0.25">
      <c r="A914" s="29"/>
      <c r="B914" s="16"/>
      <c r="C914" s="17"/>
      <c r="D914" s="27"/>
    </row>
    <row r="915" spans="1:7" x14ac:dyDescent="0.25">
      <c r="A915" s="29"/>
      <c r="B915" s="16"/>
      <c r="C915" s="17"/>
      <c r="D915" s="27"/>
    </row>
    <row r="916" spans="1:7" x14ac:dyDescent="0.25">
      <c r="A916" s="29"/>
      <c r="B916" s="16"/>
      <c r="C916" s="17"/>
      <c r="D916" s="27"/>
    </row>
    <row r="917" spans="1:7" x14ac:dyDescent="0.25">
      <c r="A917" s="9"/>
      <c r="B917" s="9"/>
      <c r="C917" s="47"/>
      <c r="D917" s="48"/>
      <c r="E917" s="154"/>
    </row>
    <row r="918" spans="1:7" x14ac:dyDescent="0.25">
      <c r="E918" s="30"/>
    </row>
    <row r="920" spans="1:7" x14ac:dyDescent="0.25">
      <c r="E920" s="30"/>
      <c r="F920" s="30"/>
      <c r="G920" s="30"/>
    </row>
    <row r="921" spans="1:7" x14ac:dyDescent="0.25">
      <c r="E921" s="30"/>
      <c r="F921" s="30"/>
      <c r="G921" s="30"/>
    </row>
    <row r="922" spans="1:7" x14ac:dyDescent="0.25">
      <c r="E922" s="30"/>
      <c r="F922" s="30"/>
      <c r="G922" s="30"/>
    </row>
    <row r="924" spans="1:7" x14ac:dyDescent="0.25">
      <c r="A924" s="18"/>
      <c r="C924" s="18"/>
      <c r="D924" s="18"/>
      <c r="E924" s="30"/>
      <c r="F924" s="30"/>
      <c r="G924" s="30"/>
    </row>
    <row r="926" spans="1:7" x14ac:dyDescent="0.25">
      <c r="A926" s="18"/>
      <c r="C926" s="18"/>
      <c r="D926" s="18"/>
      <c r="E926" s="30"/>
      <c r="F926" s="30"/>
      <c r="G926" s="30"/>
    </row>
    <row r="930" spans="1:7" x14ac:dyDescent="0.25">
      <c r="A930" s="18"/>
      <c r="C930" s="18"/>
      <c r="D930" s="18"/>
      <c r="E930" s="30"/>
      <c r="F930" s="30"/>
      <c r="G930" s="30"/>
    </row>
  </sheetData>
  <mergeCells count="12">
    <mergeCell ref="F9:G9"/>
    <mergeCell ref="A11:G11"/>
    <mergeCell ref="C10:E10"/>
    <mergeCell ref="C4:E4"/>
    <mergeCell ref="C1:G1"/>
    <mergeCell ref="C2:G2"/>
    <mergeCell ref="C3:G3"/>
    <mergeCell ref="F4:G4"/>
    <mergeCell ref="C6:G6"/>
    <mergeCell ref="C7:G7"/>
    <mergeCell ref="C8:G8"/>
    <mergeCell ref="C9:E9"/>
  </mergeCells>
  <pageMargins left="0.70866141732283472" right="0.19685039370078741" top="0.46" bottom="0.37" header="0.31496062992125984" footer="0.26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рпр</vt:lpstr>
      <vt:lpstr>рпр!Заголовки_для_печати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VolrjvaS</cp:lastModifiedBy>
  <cp:lastPrinted>2020-12-21T07:25:59Z</cp:lastPrinted>
  <dcterms:created xsi:type="dcterms:W3CDTF">2016-11-03T06:32:07Z</dcterms:created>
  <dcterms:modified xsi:type="dcterms:W3CDTF">2020-12-21T07:26:03Z</dcterms:modified>
</cp:coreProperties>
</file>