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35" yWindow="-60" windowWidth="12750" windowHeight="12300"/>
  </bookViews>
  <sheets>
    <sheet name="рпр" sheetId="1" r:id="rId1"/>
  </sheets>
  <definedNames>
    <definedName name="_xlnm._FilterDatabase" localSheetId="0" hidden="1">рпр!$D$5:$D$1333</definedName>
    <definedName name="_xlnm.Print_Titles" localSheetId="0">рпр!$12:$13</definedName>
    <definedName name="_xlnm.Print_Area" localSheetId="0">рпр!$A$1:$G$683</definedName>
  </definedNames>
  <calcPr calcId="144525"/>
</workbook>
</file>

<file path=xl/calcChain.xml><?xml version="1.0" encoding="utf-8"?>
<calcChain xmlns="http://schemas.openxmlformats.org/spreadsheetml/2006/main">
  <c r="E59" i="1" l="1"/>
  <c r="E663" i="1"/>
  <c r="E661" i="1"/>
  <c r="E657" i="1"/>
  <c r="E339" i="1" l="1"/>
  <c r="G522" i="1"/>
  <c r="G521" i="1"/>
  <c r="F522" i="1"/>
  <c r="F521" i="1"/>
  <c r="G528" i="1"/>
  <c r="G527" i="1" s="1"/>
  <c r="F528" i="1"/>
  <c r="F527" i="1" s="1"/>
  <c r="E521" i="1"/>
  <c r="E522" i="1"/>
  <c r="E525" i="1"/>
  <c r="E528" i="1"/>
  <c r="E527" i="1" s="1"/>
  <c r="E541" i="1"/>
  <c r="G680" i="1" l="1"/>
  <c r="G478" i="1"/>
  <c r="G489" i="1"/>
  <c r="G488" i="1"/>
  <c r="F489" i="1"/>
  <c r="F488" i="1"/>
  <c r="G420" i="1"/>
  <c r="F420" i="1"/>
  <c r="G130" i="1"/>
  <c r="F130" i="1"/>
  <c r="G114" i="1"/>
  <c r="F114" i="1"/>
  <c r="E132" i="1"/>
  <c r="E131" i="1"/>
  <c r="G324" i="1"/>
  <c r="F324" i="1"/>
  <c r="G199" i="1"/>
  <c r="G285" i="1"/>
  <c r="F285" i="1"/>
  <c r="G275" i="1"/>
  <c r="F275" i="1"/>
  <c r="G210" i="1"/>
  <c r="G177" i="1"/>
  <c r="G175" i="1"/>
  <c r="G48" i="1"/>
  <c r="F48" i="1"/>
  <c r="E216" i="1"/>
  <c r="E456" i="1" l="1"/>
  <c r="E411" i="1"/>
  <c r="E253" i="1"/>
  <c r="E76" i="1"/>
  <c r="E581" i="1"/>
  <c r="E580" i="1"/>
  <c r="E577" i="1"/>
  <c r="E570" i="1"/>
  <c r="E558" i="1"/>
  <c r="E554" i="1"/>
  <c r="E476" i="1"/>
  <c r="E544" i="1"/>
  <c r="E539" i="1"/>
  <c r="E505" i="1"/>
  <c r="E489" i="1"/>
  <c r="E488" i="1"/>
  <c r="E457" i="1"/>
  <c r="E454" i="1"/>
  <c r="E446" i="1"/>
  <c r="E442" i="1"/>
  <c r="F441" i="1"/>
  <c r="F435" i="1" s="1"/>
  <c r="G441" i="1"/>
  <c r="G435" i="1" s="1"/>
  <c r="E441" i="1"/>
  <c r="E432" i="1"/>
  <c r="E422" i="1"/>
  <c r="E420" i="1"/>
  <c r="E416" i="1"/>
  <c r="E386" i="1"/>
  <c r="E130" i="1"/>
  <c r="F119" i="1"/>
  <c r="G119" i="1"/>
  <c r="E121" i="1"/>
  <c r="E119" i="1" s="1"/>
  <c r="E118" i="1"/>
  <c r="E114" i="1"/>
  <c r="E371" i="1"/>
  <c r="E345" i="1"/>
  <c r="E343" i="1"/>
  <c r="E324" i="1"/>
  <c r="E243" i="1"/>
  <c r="E204" i="1"/>
  <c r="E187" i="1"/>
  <c r="E141" i="1"/>
  <c r="E69" i="1"/>
  <c r="E673" i="1"/>
  <c r="E499" i="1"/>
  <c r="E493" i="1"/>
  <c r="E460" i="1"/>
  <c r="E352" i="1"/>
  <c r="E296" i="1" l="1"/>
  <c r="E297" i="1"/>
  <c r="E294" i="1"/>
  <c r="E287" i="1"/>
  <c r="E277" i="1"/>
  <c r="E267" i="1"/>
  <c r="F190" i="1"/>
  <c r="G190" i="1"/>
  <c r="E190" i="1"/>
  <c r="E182" i="1"/>
  <c r="E177" i="1"/>
  <c r="E175" i="1"/>
  <c r="E167" i="1"/>
  <c r="E165" i="1"/>
  <c r="E153" i="1"/>
  <c r="E79" i="1"/>
  <c r="E48" i="1"/>
  <c r="F64" i="1" l="1"/>
  <c r="F63" i="1" s="1"/>
  <c r="F62" i="1" s="1"/>
  <c r="G64" i="1"/>
  <c r="G63" i="1" s="1"/>
  <c r="G62" i="1" s="1"/>
  <c r="E64" i="1"/>
  <c r="E63" i="1" s="1"/>
  <c r="E62" i="1" s="1"/>
  <c r="F246" i="1"/>
  <c r="G246" i="1"/>
  <c r="F248" i="1"/>
  <c r="G248" i="1"/>
  <c r="E248" i="1"/>
  <c r="E246" i="1"/>
  <c r="F235" i="1"/>
  <c r="G235" i="1"/>
  <c r="F238" i="1"/>
  <c r="G238" i="1"/>
  <c r="E238" i="1"/>
  <c r="E235" i="1"/>
  <c r="F472" i="1"/>
  <c r="G472" i="1"/>
  <c r="E472" i="1"/>
  <c r="F463" i="1"/>
  <c r="G463" i="1"/>
  <c r="E463" i="1"/>
  <c r="E234" i="1" l="1"/>
  <c r="G234" i="1"/>
  <c r="F234" i="1"/>
  <c r="F421" i="1"/>
  <c r="G421" i="1"/>
  <c r="E421" i="1"/>
  <c r="F402" i="1"/>
  <c r="G402" i="1"/>
  <c r="E402" i="1"/>
  <c r="F322" i="1"/>
  <c r="G322" i="1"/>
  <c r="E322" i="1"/>
  <c r="F179" i="1"/>
  <c r="G179" i="1"/>
  <c r="E179" i="1"/>
  <c r="F284" i="1"/>
  <c r="G284" i="1"/>
  <c r="F286" i="1"/>
  <c r="G286" i="1"/>
  <c r="E286" i="1"/>
  <c r="E284" i="1"/>
  <c r="F150" i="1"/>
  <c r="G150" i="1"/>
  <c r="E150" i="1"/>
  <c r="F86" i="1"/>
  <c r="F85" i="1" s="1"/>
  <c r="G86" i="1"/>
  <c r="G85" i="1" s="1"/>
  <c r="E86" i="1"/>
  <c r="E85" i="1" s="1"/>
  <c r="F283" i="1" l="1"/>
  <c r="G283" i="1"/>
  <c r="E283" i="1"/>
  <c r="F680" i="1" l="1"/>
  <c r="E370" i="1"/>
  <c r="E533" i="1"/>
  <c r="E535" i="1" l="1"/>
  <c r="E372" i="1"/>
  <c r="G471" i="1" l="1"/>
  <c r="F439" i="1"/>
  <c r="G439" i="1"/>
  <c r="G356" i="1"/>
  <c r="F356" i="1"/>
  <c r="E356" i="1"/>
  <c r="F182" i="1"/>
  <c r="F186" i="1"/>
  <c r="G186" i="1"/>
  <c r="E186" i="1"/>
  <c r="E60" i="1" l="1"/>
  <c r="E58" i="1"/>
  <c r="G611" i="1"/>
  <c r="F611" i="1"/>
  <c r="E611" i="1"/>
  <c r="E92" i="1"/>
  <c r="E82" i="1"/>
  <c r="E560" i="1"/>
  <c r="E478" i="1"/>
  <c r="E538" i="1"/>
  <c r="F504" i="1"/>
  <c r="G504" i="1"/>
  <c r="E504" i="1"/>
  <c r="G389" i="1"/>
  <c r="F389" i="1"/>
  <c r="G386" i="1"/>
  <c r="F386" i="1"/>
  <c r="E341" i="1"/>
  <c r="F333" i="1"/>
  <c r="E333" i="1"/>
  <c r="F244" i="1"/>
  <c r="G244" i="1"/>
  <c r="E244" i="1"/>
  <c r="F199" i="1"/>
  <c r="E199" i="1"/>
  <c r="E649" i="1"/>
  <c r="F411" i="1"/>
  <c r="E396" i="1"/>
  <c r="F314" i="1"/>
  <c r="G314" i="1"/>
  <c r="E314" i="1"/>
  <c r="E309" i="1"/>
  <c r="E280" i="1"/>
  <c r="E275" i="1"/>
  <c r="F184" i="1"/>
  <c r="G184" i="1"/>
  <c r="E184" i="1"/>
  <c r="G182" i="1"/>
  <c r="F176" i="1"/>
  <c r="G176" i="1"/>
  <c r="E176" i="1"/>
  <c r="F175" i="1"/>
  <c r="F162" i="1"/>
  <c r="G162" i="1"/>
  <c r="E162" i="1"/>
  <c r="G159" i="1"/>
  <c r="F159" i="1"/>
  <c r="E159" i="1"/>
  <c r="E26" i="1"/>
  <c r="E532" i="1"/>
  <c r="E484" i="1"/>
  <c r="E440" i="1"/>
  <c r="E439" i="1" s="1"/>
  <c r="E426" i="1"/>
  <c r="G426" i="1"/>
  <c r="F426" i="1"/>
  <c r="E399" i="1"/>
  <c r="E143" i="1" l="1"/>
  <c r="G139" i="1"/>
  <c r="F139" i="1"/>
  <c r="F140" i="1"/>
  <c r="G140" i="1"/>
  <c r="E140" i="1"/>
  <c r="E139" i="1"/>
  <c r="F302" i="1"/>
  <c r="G302" i="1"/>
  <c r="E302" i="1"/>
  <c r="E290" i="1"/>
  <c r="E226" i="1"/>
  <c r="F181" i="1"/>
  <c r="G181" i="1"/>
  <c r="E181" i="1"/>
  <c r="F160" i="1"/>
  <c r="G160" i="1"/>
  <c r="E160" i="1"/>
  <c r="E78" i="1"/>
  <c r="E38" i="1"/>
  <c r="E30" i="1"/>
  <c r="G413" i="1"/>
  <c r="G625" i="1"/>
  <c r="F470" i="1"/>
  <c r="F469" i="1" s="1"/>
  <c r="G470" i="1"/>
  <c r="G469" i="1" s="1"/>
  <c r="E470" i="1"/>
  <c r="E469" i="1" s="1"/>
  <c r="G434" i="1"/>
  <c r="F54" i="1"/>
  <c r="E54" i="1"/>
  <c r="G621" i="1" l="1"/>
  <c r="F563" i="1"/>
  <c r="F562" i="1" s="1"/>
  <c r="F561" i="1" s="1"/>
  <c r="G563" i="1"/>
  <c r="G562" i="1" s="1"/>
  <c r="G561" i="1" s="1"/>
  <c r="E563" i="1"/>
  <c r="E562" i="1" s="1"/>
  <c r="E561" i="1" s="1"/>
  <c r="F550" i="1"/>
  <c r="F549" i="1" s="1"/>
  <c r="G550" i="1"/>
  <c r="G549" i="1" s="1"/>
  <c r="E550" i="1"/>
  <c r="E549" i="1" s="1"/>
  <c r="G637" i="1"/>
  <c r="F637" i="1"/>
  <c r="E637" i="1"/>
  <c r="E632" i="1"/>
  <c r="F629" i="1"/>
  <c r="G629" i="1"/>
  <c r="E629" i="1"/>
  <c r="G517" i="1"/>
  <c r="G515" i="1" s="1"/>
  <c r="F517" i="1"/>
  <c r="F515" i="1" s="1"/>
  <c r="E517" i="1"/>
  <c r="E515" i="1" s="1"/>
  <c r="G510" i="1"/>
  <c r="F512" i="1"/>
  <c r="F510" i="1" s="1"/>
  <c r="E512" i="1"/>
  <c r="E510" i="1" s="1"/>
  <c r="F509" i="1"/>
  <c r="E509" i="1"/>
  <c r="G429" i="1"/>
  <c r="F430" i="1"/>
  <c r="F429" i="1" s="1"/>
  <c r="E430" i="1"/>
  <c r="G427" i="1"/>
  <c r="F428" i="1"/>
  <c r="F427" i="1" s="1"/>
  <c r="E428" i="1"/>
  <c r="E389" i="1"/>
  <c r="E387" i="1" s="1"/>
  <c r="F387" i="1"/>
  <c r="G387" i="1"/>
  <c r="F589" i="1"/>
  <c r="G589" i="1"/>
  <c r="E589" i="1"/>
  <c r="F358" i="1"/>
  <c r="F357" i="1" s="1"/>
  <c r="G358" i="1"/>
  <c r="G357" i="1" s="1"/>
  <c r="E358" i="1"/>
  <c r="E357" i="1" s="1"/>
  <c r="F281" i="1"/>
  <c r="G281" i="1"/>
  <c r="E281" i="1"/>
  <c r="F276" i="1"/>
  <c r="G276" i="1"/>
  <c r="E276" i="1"/>
  <c r="F46" i="1"/>
  <c r="G46" i="1"/>
  <c r="E46" i="1"/>
  <c r="G42" i="1"/>
  <c r="G41" i="1" s="1"/>
  <c r="F42" i="1"/>
  <c r="F41" i="1" s="1"/>
  <c r="E42" i="1"/>
  <c r="E41" i="1" s="1"/>
  <c r="E643" i="1"/>
  <c r="E640" i="1"/>
  <c r="E519" i="1"/>
  <c r="G525" i="1"/>
  <c r="G523" i="1" s="1"/>
  <c r="F525" i="1"/>
  <c r="F523" i="1" s="1"/>
  <c r="E523" i="1"/>
  <c r="G643" i="1"/>
  <c r="F643" i="1"/>
  <c r="E36" i="1"/>
  <c r="G641" i="1" l="1"/>
  <c r="G635" i="1"/>
  <c r="F635" i="1"/>
  <c r="E486" i="1"/>
  <c r="E485" i="1" s="1"/>
  <c r="E483" i="1"/>
  <c r="G433" i="1"/>
  <c r="F434" i="1"/>
  <c r="E434" i="1"/>
  <c r="E433" i="1" s="1"/>
  <c r="G391" i="1"/>
  <c r="G390" i="1" s="1"/>
  <c r="F391" i="1"/>
  <c r="E391" i="1"/>
  <c r="E390" i="1" s="1"/>
  <c r="F36" i="1"/>
  <c r="F35" i="1" s="1"/>
  <c r="G678" i="1"/>
  <c r="G677" i="1" s="1"/>
  <c r="G676" i="1" s="1"/>
  <c r="G675" i="1" s="1"/>
  <c r="G674" i="1" s="1"/>
  <c r="E678" i="1"/>
  <c r="E677" i="1" s="1"/>
  <c r="E676" i="1" s="1"/>
  <c r="E675" i="1" s="1"/>
  <c r="E674" i="1" s="1"/>
  <c r="F677" i="1"/>
  <c r="F676" i="1" s="1"/>
  <c r="F675" i="1" s="1"/>
  <c r="F674" i="1" s="1"/>
  <c r="G672" i="1"/>
  <c r="G671" i="1" s="1"/>
  <c r="G670" i="1" s="1"/>
  <c r="G669" i="1" s="1"/>
  <c r="F672" i="1"/>
  <c r="F671" i="1" s="1"/>
  <c r="F670" i="1" s="1"/>
  <c r="F669" i="1" s="1"/>
  <c r="E672" i="1"/>
  <c r="E671" i="1" s="1"/>
  <c r="E670" i="1" s="1"/>
  <c r="E669" i="1" s="1"/>
  <c r="G667" i="1"/>
  <c r="F667" i="1"/>
  <c r="E667" i="1"/>
  <c r="G664" i="1"/>
  <c r="F664" i="1"/>
  <c r="E664" i="1"/>
  <c r="G662" i="1"/>
  <c r="F662" i="1"/>
  <c r="E662" i="1"/>
  <c r="G659" i="1"/>
  <c r="F659" i="1"/>
  <c r="E659" i="1"/>
  <c r="G656" i="1"/>
  <c r="G655" i="1" s="1"/>
  <c r="F656" i="1"/>
  <c r="F655" i="1" s="1"/>
  <c r="E656" i="1"/>
  <c r="E655" i="1" s="1"/>
  <c r="G651" i="1"/>
  <c r="G650" i="1" s="1"/>
  <c r="F651" i="1"/>
  <c r="F650" i="1" s="1"/>
  <c r="E651" i="1"/>
  <c r="E650" i="1" s="1"/>
  <c r="G648" i="1"/>
  <c r="G647" i="1" s="1"/>
  <c r="F648" i="1"/>
  <c r="F647" i="1" s="1"/>
  <c r="E648" i="1"/>
  <c r="E647" i="1" s="1"/>
  <c r="E641" i="1"/>
  <c r="F641" i="1"/>
  <c r="G640" i="1"/>
  <c r="G638" i="1" s="1"/>
  <c r="F640" i="1"/>
  <c r="F638" i="1" s="1"/>
  <c r="E638" i="1"/>
  <c r="E635" i="1"/>
  <c r="G628" i="1"/>
  <c r="G627" i="1" s="1"/>
  <c r="F628" i="1"/>
  <c r="F627" i="1" s="1"/>
  <c r="E628" i="1"/>
  <c r="E627" i="1" s="1"/>
  <c r="G624" i="1"/>
  <c r="F624" i="1"/>
  <c r="E624" i="1"/>
  <c r="G622" i="1"/>
  <c r="F622" i="1"/>
  <c r="E622" i="1"/>
  <c r="G620" i="1"/>
  <c r="F620" i="1"/>
  <c r="E620" i="1"/>
  <c r="G614" i="1"/>
  <c r="G613" i="1" s="1"/>
  <c r="G612" i="1" s="1"/>
  <c r="F614" i="1"/>
  <c r="F613" i="1" s="1"/>
  <c r="F612" i="1" s="1"/>
  <c r="E614" i="1"/>
  <c r="E613" i="1" s="1"/>
  <c r="E612" i="1" s="1"/>
  <c r="G610" i="1"/>
  <c r="G609" i="1" s="1"/>
  <c r="G608" i="1" s="1"/>
  <c r="F610" i="1"/>
  <c r="F609" i="1" s="1"/>
  <c r="F608" i="1" s="1"/>
  <c r="E610" i="1"/>
  <c r="E609" i="1" s="1"/>
  <c r="E608" i="1" s="1"/>
  <c r="G606" i="1"/>
  <c r="G605" i="1" s="1"/>
  <c r="G604" i="1" s="1"/>
  <c r="F606" i="1"/>
  <c r="F605" i="1" s="1"/>
  <c r="F604" i="1" s="1"/>
  <c r="E606" i="1"/>
  <c r="E605" i="1" s="1"/>
  <c r="E604" i="1" s="1"/>
  <c r="G601" i="1"/>
  <c r="F601" i="1"/>
  <c r="E601" i="1"/>
  <c r="G599" i="1"/>
  <c r="F599" i="1"/>
  <c r="E599" i="1"/>
  <c r="G597" i="1"/>
  <c r="F597" i="1"/>
  <c r="E597" i="1"/>
  <c r="G595" i="1"/>
  <c r="F595" i="1"/>
  <c r="E595" i="1"/>
  <c r="G593" i="1"/>
  <c r="F593" i="1"/>
  <c r="E593" i="1"/>
  <c r="G591" i="1"/>
  <c r="F591" i="1"/>
  <c r="E591" i="1"/>
  <c r="G585" i="1"/>
  <c r="G584" i="1" s="1"/>
  <c r="G583" i="1" s="1"/>
  <c r="F585" i="1"/>
  <c r="F584" i="1" s="1"/>
  <c r="F583" i="1" s="1"/>
  <c r="E585" i="1"/>
  <c r="E584" i="1" s="1"/>
  <c r="E583" i="1" s="1"/>
  <c r="G579" i="1"/>
  <c r="G578" i="1" s="1"/>
  <c r="F579" i="1"/>
  <c r="F578" i="1" s="1"/>
  <c r="E579" i="1"/>
  <c r="E578" i="1" s="1"/>
  <c r="G576" i="1"/>
  <c r="F576" i="1"/>
  <c r="E576" i="1"/>
  <c r="G574" i="1"/>
  <c r="G573" i="1" s="1"/>
  <c r="F574" i="1"/>
  <c r="F573" i="1" s="1"/>
  <c r="E574" i="1"/>
  <c r="E573" i="1" s="1"/>
  <c r="G569" i="1"/>
  <c r="G568" i="1" s="1"/>
  <c r="G567" i="1" s="1"/>
  <c r="F569" i="1"/>
  <c r="F568" i="1" s="1"/>
  <c r="F567" i="1" s="1"/>
  <c r="E569" i="1"/>
  <c r="E568" i="1" s="1"/>
  <c r="E567" i="1" s="1"/>
  <c r="G559" i="1"/>
  <c r="F559" i="1"/>
  <c r="E559" i="1"/>
  <c r="G557" i="1"/>
  <c r="F557" i="1"/>
  <c r="E557" i="1"/>
  <c r="G553" i="1"/>
  <c r="G552" i="1" s="1"/>
  <c r="G548" i="1" s="1"/>
  <c r="F553" i="1"/>
  <c r="F552" i="1" s="1"/>
  <c r="F548" i="1" s="1"/>
  <c r="E553" i="1"/>
  <c r="E552" i="1" s="1"/>
  <c r="E548" i="1" s="1"/>
  <c r="G543" i="1"/>
  <c r="G542" i="1" s="1"/>
  <c r="F543" i="1"/>
  <c r="F542" i="1" s="1"/>
  <c r="E543" i="1"/>
  <c r="E542" i="1" s="1"/>
  <c r="G537" i="1"/>
  <c r="F537" i="1"/>
  <c r="E537" i="1"/>
  <c r="G533" i="1"/>
  <c r="G532" i="1" s="1"/>
  <c r="F533" i="1"/>
  <c r="F532" i="1" s="1"/>
  <c r="G526" i="1"/>
  <c r="F526" i="1"/>
  <c r="E526" i="1"/>
  <c r="G520" i="1"/>
  <c r="F520" i="1"/>
  <c r="E520" i="1"/>
  <c r="G518" i="1"/>
  <c r="F518" i="1"/>
  <c r="E518" i="1"/>
  <c r="G508" i="1"/>
  <c r="F508" i="1"/>
  <c r="E508" i="1"/>
  <c r="G506" i="1"/>
  <c r="F506" i="1"/>
  <c r="E506" i="1"/>
  <c r="E503" i="1" s="1"/>
  <c r="G498" i="1"/>
  <c r="G497" i="1" s="1"/>
  <c r="F498" i="1"/>
  <c r="F497" i="1" s="1"/>
  <c r="E498" i="1"/>
  <c r="E497" i="1" s="1"/>
  <c r="G494" i="1"/>
  <c r="F494" i="1"/>
  <c r="E494" i="1"/>
  <c r="G492" i="1"/>
  <c r="F492" i="1"/>
  <c r="E492" i="1"/>
  <c r="G487" i="1"/>
  <c r="F487" i="1"/>
  <c r="E487" i="1"/>
  <c r="G485" i="1"/>
  <c r="F485" i="1"/>
  <c r="G483" i="1"/>
  <c r="F483" i="1"/>
  <c r="G477" i="1"/>
  <c r="F477" i="1"/>
  <c r="E477" i="1"/>
  <c r="G475" i="1"/>
  <c r="F475" i="1"/>
  <c r="E475" i="1"/>
  <c r="G465" i="1"/>
  <c r="F465" i="1"/>
  <c r="E465" i="1"/>
  <c r="G459" i="1"/>
  <c r="F459" i="1"/>
  <c r="E459" i="1"/>
  <c r="E458" i="1" s="1"/>
  <c r="G456" i="1"/>
  <c r="G455" i="1" s="1"/>
  <c r="F456" i="1"/>
  <c r="F455" i="1" s="1"/>
  <c r="E455" i="1"/>
  <c r="G453" i="1"/>
  <c r="F453" i="1"/>
  <c r="E453" i="1"/>
  <c r="G447" i="1"/>
  <c r="G444" i="1" s="1"/>
  <c r="G443" i="1" s="1"/>
  <c r="F447" i="1"/>
  <c r="F444" i="1" s="1"/>
  <c r="F443" i="1" s="1"/>
  <c r="E447" i="1"/>
  <c r="E444" i="1" s="1"/>
  <c r="E443" i="1" s="1"/>
  <c r="G445" i="1"/>
  <c r="F445" i="1"/>
  <c r="E445" i="1"/>
  <c r="E438" i="1"/>
  <c r="E436" i="1"/>
  <c r="E435" i="1" s="1"/>
  <c r="F433" i="1"/>
  <c r="E431" i="1"/>
  <c r="E429" i="1"/>
  <c r="E427" i="1"/>
  <c r="G425" i="1"/>
  <c r="F425" i="1"/>
  <c r="E425" i="1"/>
  <c r="G423" i="1"/>
  <c r="F423" i="1"/>
  <c r="E423" i="1"/>
  <c r="G419" i="1"/>
  <c r="F419" i="1"/>
  <c r="E419" i="1"/>
  <c r="G417" i="1"/>
  <c r="F417" i="1"/>
  <c r="E417" i="1"/>
  <c r="G415" i="1"/>
  <c r="F415" i="1"/>
  <c r="E415" i="1"/>
  <c r="F413" i="1"/>
  <c r="E410" i="1"/>
  <c r="E409" i="1" s="1"/>
  <c r="G410" i="1"/>
  <c r="G409" i="1" s="1"/>
  <c r="F410" i="1"/>
  <c r="F409" i="1" s="1"/>
  <c r="G404" i="1"/>
  <c r="F404" i="1"/>
  <c r="E404" i="1"/>
  <c r="G398" i="1"/>
  <c r="G397" i="1" s="1"/>
  <c r="F398" i="1"/>
  <c r="F397" i="1" s="1"/>
  <c r="E398" i="1"/>
  <c r="E397" i="1" s="1"/>
  <c r="G395" i="1"/>
  <c r="G392" i="1" s="1"/>
  <c r="F395" i="1"/>
  <c r="F392" i="1" s="1"/>
  <c r="E395" i="1"/>
  <c r="G393" i="1"/>
  <c r="F393" i="1"/>
  <c r="E393" i="1"/>
  <c r="G385" i="1"/>
  <c r="F385" i="1"/>
  <c r="E385" i="1"/>
  <c r="G376" i="1"/>
  <c r="G375" i="1" s="1"/>
  <c r="G374" i="1" s="1"/>
  <c r="F376" i="1"/>
  <c r="F375" i="1" s="1"/>
  <c r="F374" i="1" s="1"/>
  <c r="E376" i="1"/>
  <c r="E375" i="1" s="1"/>
  <c r="E374" i="1" s="1"/>
  <c r="G370" i="1"/>
  <c r="G369" i="1" s="1"/>
  <c r="G368" i="1" s="1"/>
  <c r="G367" i="1" s="1"/>
  <c r="G366" i="1" s="1"/>
  <c r="F370" i="1"/>
  <c r="F369" i="1" s="1"/>
  <c r="F368" i="1" s="1"/>
  <c r="F367" i="1" s="1"/>
  <c r="F366" i="1" s="1"/>
  <c r="E369" i="1"/>
  <c r="E368" i="1" s="1"/>
  <c r="E367" i="1" s="1"/>
  <c r="E366" i="1" s="1"/>
  <c r="G364" i="1"/>
  <c r="G363" i="1" s="1"/>
  <c r="G362" i="1" s="1"/>
  <c r="G361" i="1" s="1"/>
  <c r="F364" i="1"/>
  <c r="F363" i="1" s="1"/>
  <c r="F362" i="1" s="1"/>
  <c r="F361" i="1" s="1"/>
  <c r="E364" i="1"/>
  <c r="E363" i="1" s="1"/>
  <c r="E362" i="1" s="1"/>
  <c r="E361" i="1" s="1"/>
  <c r="G355" i="1"/>
  <c r="G354" i="1" s="1"/>
  <c r="G353" i="1" s="1"/>
  <c r="F355" i="1"/>
  <c r="F354" i="1" s="1"/>
  <c r="F353" i="1" s="1"/>
  <c r="E355" i="1"/>
  <c r="E354" i="1" s="1"/>
  <c r="E353" i="1" s="1"/>
  <c r="E351" i="1"/>
  <c r="E350" i="1" s="1"/>
  <c r="G351" i="1"/>
  <c r="G350" i="1" s="1"/>
  <c r="F351" i="1"/>
  <c r="F350" i="1" s="1"/>
  <c r="G348" i="1"/>
  <c r="F348" i="1"/>
  <c r="E348" i="1"/>
  <c r="G346" i="1"/>
  <c r="F346" i="1"/>
  <c r="E346" i="1"/>
  <c r="G344" i="1"/>
  <c r="F344" i="1"/>
  <c r="E344" i="1"/>
  <c r="E342" i="1"/>
  <c r="G342" i="1"/>
  <c r="F342" i="1"/>
  <c r="G340" i="1"/>
  <c r="F340" i="1"/>
  <c r="E340" i="1"/>
  <c r="G338" i="1"/>
  <c r="F338" i="1"/>
  <c r="E338" i="1"/>
  <c r="G332" i="1"/>
  <c r="G331" i="1" s="1"/>
  <c r="F332" i="1"/>
  <c r="F331" i="1" s="1"/>
  <c r="E332" i="1"/>
  <c r="E331" i="1" s="1"/>
  <c r="G329" i="1"/>
  <c r="G328" i="1" s="1"/>
  <c r="F329" i="1"/>
  <c r="F328" i="1" s="1"/>
  <c r="E329" i="1"/>
  <c r="E328" i="1" s="1"/>
  <c r="G325" i="1"/>
  <c r="F325" i="1"/>
  <c r="E325" i="1"/>
  <c r="G320" i="1"/>
  <c r="F320" i="1"/>
  <c r="E320" i="1"/>
  <c r="G318" i="1"/>
  <c r="F318" i="1"/>
  <c r="E318" i="1"/>
  <c r="G316" i="1"/>
  <c r="F316" i="1"/>
  <c r="E316" i="1"/>
  <c r="G312" i="1"/>
  <c r="F312" i="1"/>
  <c r="E312" i="1"/>
  <c r="G310" i="1"/>
  <c r="F310" i="1"/>
  <c r="E310" i="1"/>
  <c r="G308" i="1"/>
  <c r="F308" i="1"/>
  <c r="E308" i="1"/>
  <c r="G306" i="1"/>
  <c r="F306" i="1"/>
  <c r="E306" i="1"/>
  <c r="G304" i="1"/>
  <c r="F304" i="1"/>
  <c r="E304" i="1"/>
  <c r="G300" i="1"/>
  <c r="F300" i="1"/>
  <c r="E300" i="1"/>
  <c r="G298" i="1"/>
  <c r="F298" i="1"/>
  <c r="E298" i="1"/>
  <c r="G295" i="1"/>
  <c r="F295" i="1"/>
  <c r="E295" i="1"/>
  <c r="G293" i="1"/>
  <c r="F293" i="1"/>
  <c r="E293" i="1"/>
  <c r="G291" i="1"/>
  <c r="F291" i="1"/>
  <c r="E291" i="1"/>
  <c r="G289" i="1"/>
  <c r="F289" i="1"/>
  <c r="E289" i="1"/>
  <c r="G279" i="1"/>
  <c r="G278" i="1" s="1"/>
  <c r="F279" i="1"/>
  <c r="F278" i="1" s="1"/>
  <c r="E279" i="1"/>
  <c r="E278" i="1" s="1"/>
  <c r="G274" i="1"/>
  <c r="G273" i="1" s="1"/>
  <c r="F274" i="1"/>
  <c r="F273" i="1" s="1"/>
  <c r="E274" i="1"/>
  <c r="E273" i="1" s="1"/>
  <c r="G268" i="1"/>
  <c r="F268" i="1"/>
  <c r="E268" i="1"/>
  <c r="G266" i="1"/>
  <c r="F266" i="1"/>
  <c r="E266" i="1"/>
  <c r="G262" i="1"/>
  <c r="F262" i="1"/>
  <c r="E262" i="1"/>
  <c r="G260" i="1"/>
  <c r="F260" i="1"/>
  <c r="E260" i="1"/>
  <c r="G257" i="1"/>
  <c r="G256" i="1" s="1"/>
  <c r="F257" i="1"/>
  <c r="F256" i="1" s="1"/>
  <c r="E257" i="1"/>
  <c r="E256" i="1" s="1"/>
  <c r="G252" i="1"/>
  <c r="G251" i="1" s="1"/>
  <c r="G250" i="1" s="1"/>
  <c r="F252" i="1"/>
  <c r="F251" i="1" s="1"/>
  <c r="F250" i="1" s="1"/>
  <c r="E252" i="1"/>
  <c r="E251" i="1" s="1"/>
  <c r="E250" i="1" s="1"/>
  <c r="G242" i="1"/>
  <c r="G241" i="1" s="1"/>
  <c r="G233" i="1" s="1"/>
  <c r="F242" i="1"/>
  <c r="F241" i="1" s="1"/>
  <c r="F233" i="1" s="1"/>
  <c r="E242" i="1"/>
  <c r="E241" i="1" s="1"/>
  <c r="E233" i="1" s="1"/>
  <c r="G230" i="1"/>
  <c r="G229" i="1" s="1"/>
  <c r="F230" i="1"/>
  <c r="F229" i="1" s="1"/>
  <c r="E230" i="1"/>
  <c r="E229" i="1" s="1"/>
  <c r="G226" i="1"/>
  <c r="G225" i="1" s="1"/>
  <c r="G224" i="1" s="1"/>
  <c r="F226" i="1"/>
  <c r="F225" i="1" s="1"/>
  <c r="F224" i="1" s="1"/>
  <c r="E225" i="1"/>
  <c r="E224" i="1" s="1"/>
  <c r="G222" i="1"/>
  <c r="G221" i="1" s="1"/>
  <c r="F222" i="1"/>
  <c r="F221" i="1" s="1"/>
  <c r="E222" i="1"/>
  <c r="E221" i="1" s="1"/>
  <c r="G218" i="1"/>
  <c r="G217" i="1" s="1"/>
  <c r="F218" i="1"/>
  <c r="F217" i="1" s="1"/>
  <c r="E218" i="1"/>
  <c r="E217" i="1" s="1"/>
  <c r="G215" i="1"/>
  <c r="F215" i="1"/>
  <c r="E215" i="1"/>
  <c r="G213" i="1"/>
  <c r="F213" i="1"/>
  <c r="E213" i="1"/>
  <c r="G209" i="1"/>
  <c r="G208" i="1" s="1"/>
  <c r="G207" i="1" s="1"/>
  <c r="F209" i="1"/>
  <c r="F208" i="1" s="1"/>
  <c r="F207" i="1" s="1"/>
  <c r="E209" i="1"/>
  <c r="E208" i="1" s="1"/>
  <c r="E207" i="1" s="1"/>
  <c r="G203" i="1"/>
  <c r="G202" i="1" s="1"/>
  <c r="G201" i="1" s="1"/>
  <c r="G200" i="1" s="1"/>
  <c r="F203" i="1"/>
  <c r="F202" i="1" s="1"/>
  <c r="F201" i="1" s="1"/>
  <c r="F200" i="1" s="1"/>
  <c r="E203" i="1"/>
  <c r="E202" i="1" s="1"/>
  <c r="E201" i="1" s="1"/>
  <c r="E200" i="1" s="1"/>
  <c r="G198" i="1"/>
  <c r="F198" i="1"/>
  <c r="E198" i="1"/>
  <c r="G196" i="1"/>
  <c r="F196" i="1"/>
  <c r="E196" i="1"/>
  <c r="G195" i="1"/>
  <c r="G194" i="1" s="1"/>
  <c r="F195" i="1"/>
  <c r="F194" i="1" s="1"/>
  <c r="E195" i="1"/>
  <c r="E194" i="1" s="1"/>
  <c r="G193" i="1"/>
  <c r="G192" i="1" s="1"/>
  <c r="F193" i="1"/>
  <c r="F192" i="1" s="1"/>
  <c r="E193" i="1"/>
  <c r="E192" i="1" s="1"/>
  <c r="E178" i="1" s="1"/>
  <c r="G188" i="1"/>
  <c r="F188" i="1"/>
  <c r="E188" i="1"/>
  <c r="G174" i="1"/>
  <c r="G173" i="1" s="1"/>
  <c r="F174" i="1"/>
  <c r="F173" i="1" s="1"/>
  <c r="E174" i="1"/>
  <c r="E173" i="1" s="1"/>
  <c r="G168" i="1"/>
  <c r="F168" i="1"/>
  <c r="E168" i="1"/>
  <c r="G166" i="1"/>
  <c r="F166" i="1"/>
  <c r="E166" i="1"/>
  <c r="G164" i="1"/>
  <c r="F164" i="1"/>
  <c r="E164" i="1"/>
  <c r="F158" i="1"/>
  <c r="E158" i="1"/>
  <c r="G158" i="1"/>
  <c r="G152" i="1"/>
  <c r="F152" i="1"/>
  <c r="E152" i="1"/>
  <c r="G144" i="1"/>
  <c r="F144" i="1"/>
  <c r="E144" i="1"/>
  <c r="G142" i="1"/>
  <c r="F142" i="1"/>
  <c r="E142" i="1"/>
  <c r="G138" i="1"/>
  <c r="G137" i="1" s="1"/>
  <c r="F138" i="1"/>
  <c r="E138" i="1"/>
  <c r="G129" i="1"/>
  <c r="G128" i="1" s="1"/>
  <c r="G127" i="1" s="1"/>
  <c r="F129" i="1"/>
  <c r="F128" i="1" s="1"/>
  <c r="F127" i="1" s="1"/>
  <c r="E129" i="1"/>
  <c r="E128" i="1" s="1"/>
  <c r="E127" i="1" s="1"/>
  <c r="G124" i="1"/>
  <c r="G123" i="1" s="1"/>
  <c r="G122" i="1" s="1"/>
  <c r="F124" i="1"/>
  <c r="F123" i="1" s="1"/>
  <c r="F122" i="1" s="1"/>
  <c r="E124" i="1"/>
  <c r="E123" i="1" s="1"/>
  <c r="E122" i="1" s="1"/>
  <c r="G117" i="1"/>
  <c r="F117" i="1"/>
  <c r="E117" i="1"/>
  <c r="G113" i="1"/>
  <c r="F113" i="1"/>
  <c r="E113" i="1"/>
  <c r="G111" i="1"/>
  <c r="F111" i="1"/>
  <c r="E111" i="1"/>
  <c r="G103" i="1"/>
  <c r="G102" i="1" s="1"/>
  <c r="G101" i="1" s="1"/>
  <c r="G100" i="1" s="1"/>
  <c r="F103" i="1"/>
  <c r="F102" i="1" s="1"/>
  <c r="F101" i="1" s="1"/>
  <c r="F100" i="1" s="1"/>
  <c r="E103" i="1"/>
  <c r="E102" i="1" s="1"/>
  <c r="E101" i="1" s="1"/>
  <c r="E100" i="1" s="1"/>
  <c r="G98" i="1"/>
  <c r="G97" i="1" s="1"/>
  <c r="G96" i="1" s="1"/>
  <c r="G95" i="1" s="1"/>
  <c r="F98" i="1"/>
  <c r="F97" i="1" s="1"/>
  <c r="F96" i="1" s="1"/>
  <c r="F95" i="1" s="1"/>
  <c r="E98" i="1"/>
  <c r="E97" i="1" s="1"/>
  <c r="E96" i="1" s="1"/>
  <c r="E95" i="1" s="1"/>
  <c r="G91" i="1"/>
  <c r="G90" i="1" s="1"/>
  <c r="G89" i="1" s="1"/>
  <c r="G88" i="1" s="1"/>
  <c r="F91" i="1"/>
  <c r="F90" i="1" s="1"/>
  <c r="F89" i="1" s="1"/>
  <c r="F88" i="1" s="1"/>
  <c r="E91" i="1"/>
  <c r="E90" i="1" s="1"/>
  <c r="E89" i="1" s="1"/>
  <c r="E88" i="1" s="1"/>
  <c r="G84" i="1"/>
  <c r="G83" i="1" s="1"/>
  <c r="F84" i="1"/>
  <c r="F83" i="1" s="1"/>
  <c r="E84" i="1"/>
  <c r="E83" i="1" s="1"/>
  <c r="G82" i="1"/>
  <c r="G81" i="1" s="1"/>
  <c r="F82" i="1"/>
  <c r="F81" i="1" s="1"/>
  <c r="E81" i="1"/>
  <c r="G77" i="1"/>
  <c r="F77" i="1"/>
  <c r="E77" i="1"/>
  <c r="G73" i="1"/>
  <c r="G72" i="1" s="1"/>
  <c r="F73" i="1"/>
  <c r="F72" i="1" s="1"/>
  <c r="E73" i="1"/>
  <c r="E72" i="1" s="1"/>
  <c r="G68" i="1"/>
  <c r="G67" i="1" s="1"/>
  <c r="G66" i="1" s="1"/>
  <c r="F68" i="1"/>
  <c r="F67" i="1" s="1"/>
  <c r="F66" i="1" s="1"/>
  <c r="E68" i="1"/>
  <c r="E67" i="1" s="1"/>
  <c r="E66" i="1" s="1"/>
  <c r="G61" i="1"/>
  <c r="F61" i="1"/>
  <c r="E61" i="1"/>
  <c r="G59" i="1"/>
  <c r="F59" i="1"/>
  <c r="G58" i="1"/>
  <c r="F58" i="1"/>
  <c r="G53" i="1"/>
  <c r="G52" i="1" s="1"/>
  <c r="G51" i="1" s="1"/>
  <c r="G50" i="1" s="1"/>
  <c r="F53" i="1"/>
  <c r="F52" i="1" s="1"/>
  <c r="F51" i="1" s="1"/>
  <c r="F50" i="1" s="1"/>
  <c r="E53" i="1"/>
  <c r="E52" i="1" s="1"/>
  <c r="E51" i="1" s="1"/>
  <c r="E50" i="1" s="1"/>
  <c r="G47" i="1"/>
  <c r="F47" i="1"/>
  <c r="E47" i="1"/>
  <c r="G44" i="1"/>
  <c r="F44" i="1"/>
  <c r="E44" i="1"/>
  <c r="E37" i="1"/>
  <c r="E35" i="1" s="1"/>
  <c r="G36" i="1"/>
  <c r="G35" i="1" s="1"/>
  <c r="G32" i="1"/>
  <c r="G31" i="1" s="1"/>
  <c r="F32" i="1"/>
  <c r="F31" i="1" s="1"/>
  <c r="E32" i="1"/>
  <c r="E31" i="1" s="1"/>
  <c r="G28" i="1"/>
  <c r="G27" i="1" s="1"/>
  <c r="F28" i="1"/>
  <c r="F27" i="1" s="1"/>
  <c r="E28" i="1"/>
  <c r="E27" i="1" s="1"/>
  <c r="G26" i="1"/>
  <c r="G25" i="1" s="1"/>
  <c r="F26" i="1"/>
  <c r="F25" i="1" s="1"/>
  <c r="E25" i="1"/>
  <c r="G24" i="1"/>
  <c r="G23" i="1" s="1"/>
  <c r="F24" i="1"/>
  <c r="F23" i="1" s="1"/>
  <c r="E24" i="1"/>
  <c r="E23" i="1" s="1"/>
  <c r="G22" i="1"/>
  <c r="G21" i="1" s="1"/>
  <c r="F22" i="1"/>
  <c r="F21" i="1" s="1"/>
  <c r="E22" i="1"/>
  <c r="E21" i="1" s="1"/>
  <c r="G18" i="1"/>
  <c r="G17" i="1" s="1"/>
  <c r="G16" i="1" s="1"/>
  <c r="G15" i="1" s="1"/>
  <c r="F18" i="1"/>
  <c r="F17" i="1" s="1"/>
  <c r="F16" i="1" s="1"/>
  <c r="F15" i="1" s="1"/>
  <c r="E18" i="1"/>
  <c r="E17" i="1" s="1"/>
  <c r="E16" i="1" s="1"/>
  <c r="E15" i="1" s="1"/>
  <c r="F178" i="1" l="1"/>
  <c r="G178" i="1"/>
  <c r="G412" i="1"/>
  <c r="G588" i="1"/>
  <c r="F137" i="1"/>
  <c r="E137" i="1"/>
  <c r="E136" i="1" s="1"/>
  <c r="E135" i="1" s="1"/>
  <c r="E134" i="1" s="1"/>
  <c r="G401" i="1"/>
  <c r="G400" i="1" s="1"/>
  <c r="E157" i="1"/>
  <c r="E156" i="1" s="1"/>
  <c r="E155" i="1" s="1"/>
  <c r="E154" i="1" s="1"/>
  <c r="F412" i="1"/>
  <c r="F408" i="1" s="1"/>
  <c r="F407" i="1" s="1"/>
  <c r="F406" i="1" s="1"/>
  <c r="F401" i="1"/>
  <c r="F400" i="1" s="1"/>
  <c r="G462" i="1"/>
  <c r="G461" i="1" s="1"/>
  <c r="E401" i="1"/>
  <c r="E400" i="1" s="1"/>
  <c r="F462" i="1"/>
  <c r="F461" i="1" s="1"/>
  <c r="E288" i="1"/>
  <c r="E272" i="1" s="1"/>
  <c r="E271" i="1" s="1"/>
  <c r="E270" i="1" s="1"/>
  <c r="E462" i="1"/>
  <c r="E461" i="1" s="1"/>
  <c r="F71" i="1"/>
  <c r="G172" i="1"/>
  <c r="G171" i="1" s="1"/>
  <c r="G170" i="1" s="1"/>
  <c r="E412" i="1"/>
  <c r="F149" i="1"/>
  <c r="F148" i="1" s="1"/>
  <c r="F147" i="1" s="1"/>
  <c r="F146" i="1" s="1"/>
  <c r="G71" i="1"/>
  <c r="G70" i="1" s="1"/>
  <c r="E149" i="1"/>
  <c r="E148" i="1" s="1"/>
  <c r="E147" i="1" s="1"/>
  <c r="E146" i="1" s="1"/>
  <c r="E71" i="1"/>
  <c r="E70" i="1" s="1"/>
  <c r="G149" i="1"/>
  <c r="G148" i="1" s="1"/>
  <c r="G147" i="1" s="1"/>
  <c r="G146" i="1" s="1"/>
  <c r="F157" i="1"/>
  <c r="F156" i="1" s="1"/>
  <c r="F155" i="1" s="1"/>
  <c r="F154" i="1" s="1"/>
  <c r="F57" i="1"/>
  <c r="F56" i="1" s="1"/>
  <c r="F55" i="1" s="1"/>
  <c r="G136" i="1"/>
  <c r="G135" i="1" s="1"/>
  <c r="G134" i="1" s="1"/>
  <c r="E232" i="1"/>
  <c r="F288" i="1"/>
  <c r="F503" i="1"/>
  <c r="F502" i="1" s="1"/>
  <c r="G288" i="1"/>
  <c r="G503" i="1"/>
  <c r="E20" i="1"/>
  <c r="E19" i="1" s="1"/>
  <c r="G157" i="1"/>
  <c r="G156" i="1" s="1"/>
  <c r="G155" i="1" s="1"/>
  <c r="G154" i="1" s="1"/>
  <c r="F232" i="1"/>
  <c r="G232" i="1"/>
  <c r="G408" i="1"/>
  <c r="G407" i="1" s="1"/>
  <c r="G406" i="1" s="1"/>
  <c r="E57" i="1"/>
  <c r="E56" i="1" s="1"/>
  <c r="E55" i="1" s="1"/>
  <c r="E588" i="1"/>
  <c r="F588" i="1"/>
  <c r="G110" i="1"/>
  <c r="G109" i="1" s="1"/>
  <c r="F116" i="1"/>
  <c r="F115" i="1" s="1"/>
  <c r="F110" i="1"/>
  <c r="F109" i="1" s="1"/>
  <c r="F40" i="1"/>
  <c r="F34" i="1" s="1"/>
  <c r="F33" i="1" s="1"/>
  <c r="G220" i="1"/>
  <c r="F259" i="1"/>
  <c r="F255" i="1" s="1"/>
  <c r="E392" i="1"/>
  <c r="E474" i="1"/>
  <c r="G265" i="1"/>
  <c r="G264" i="1" s="1"/>
  <c r="F572" i="1"/>
  <c r="F571" i="1" s="1"/>
  <c r="F566" i="1" s="1"/>
  <c r="F565" i="1" s="1"/>
  <c r="F70" i="1"/>
  <c r="G646" i="1"/>
  <c r="G645" i="1" s="1"/>
  <c r="G259" i="1"/>
  <c r="G255" i="1" s="1"/>
  <c r="E384" i="1"/>
  <c r="E491" i="1"/>
  <c r="E490" i="1" s="1"/>
  <c r="F531" i="1"/>
  <c r="F530" i="1" s="1"/>
  <c r="F556" i="1"/>
  <c r="F555" i="1" s="1"/>
  <c r="E603" i="1"/>
  <c r="F220" i="1"/>
  <c r="F360" i="1"/>
  <c r="G482" i="1"/>
  <c r="G481" i="1" s="1"/>
  <c r="G480" i="1" s="1"/>
  <c r="F491" i="1"/>
  <c r="F490" i="1" s="1"/>
  <c r="G491" i="1"/>
  <c r="G490" i="1" s="1"/>
  <c r="G531" i="1"/>
  <c r="G530" i="1" s="1"/>
  <c r="G572" i="1"/>
  <c r="G571" i="1" s="1"/>
  <c r="G566" i="1" s="1"/>
  <c r="G565" i="1" s="1"/>
  <c r="E619" i="1"/>
  <c r="E618" i="1" s="1"/>
  <c r="E617" i="1" s="1"/>
  <c r="G619" i="1"/>
  <c r="G618" i="1" s="1"/>
  <c r="G617" i="1" s="1"/>
  <c r="G337" i="1"/>
  <c r="G336" i="1" s="1"/>
  <c r="G335" i="1" s="1"/>
  <c r="G334" i="1" s="1"/>
  <c r="G40" i="1"/>
  <c r="G34" i="1" s="1"/>
  <c r="G33" i="1" s="1"/>
  <c r="E116" i="1"/>
  <c r="E115" i="1" s="1"/>
  <c r="E212" i="1"/>
  <c r="E211" i="1" s="1"/>
  <c r="E206" i="1" s="1"/>
  <c r="F474" i="1"/>
  <c r="E514" i="1"/>
  <c r="E513" i="1" s="1"/>
  <c r="E531" i="1"/>
  <c r="E530" i="1" s="1"/>
  <c r="G658" i="1"/>
  <c r="G654" i="1" s="1"/>
  <c r="G653" i="1" s="1"/>
  <c r="E337" i="1"/>
  <c r="E336" i="1" s="1"/>
  <c r="E335" i="1" s="1"/>
  <c r="E334" i="1" s="1"/>
  <c r="F172" i="1"/>
  <c r="F171" i="1" s="1"/>
  <c r="F170" i="1" s="1"/>
  <c r="G360" i="1"/>
  <c r="G384" i="1"/>
  <c r="G383" i="1" s="1"/>
  <c r="E40" i="1"/>
  <c r="E34" i="1" s="1"/>
  <c r="E33" i="1" s="1"/>
  <c r="G57" i="1"/>
  <c r="G56" i="1" s="1"/>
  <c r="G55" i="1" s="1"/>
  <c r="G116" i="1"/>
  <c r="G115" i="1" s="1"/>
  <c r="E572" i="1"/>
  <c r="E571" i="1" s="1"/>
  <c r="E566" i="1" s="1"/>
  <c r="E565" i="1" s="1"/>
  <c r="E110" i="1"/>
  <c r="E109" i="1" s="1"/>
  <c r="F646" i="1"/>
  <c r="F645" i="1" s="1"/>
  <c r="G20" i="1"/>
  <c r="G19" i="1" s="1"/>
  <c r="G603" i="1"/>
  <c r="G452" i="1"/>
  <c r="G451" i="1" s="1"/>
  <c r="G474" i="1"/>
  <c r="F619" i="1"/>
  <c r="F618" i="1" s="1"/>
  <c r="F617" i="1" s="1"/>
  <c r="E172" i="1"/>
  <c r="E171" i="1" s="1"/>
  <c r="E170" i="1" s="1"/>
  <c r="G212" i="1"/>
  <c r="G211" i="1" s="1"/>
  <c r="G206" i="1" s="1"/>
  <c r="F265" i="1"/>
  <c r="F264" i="1" s="1"/>
  <c r="E452" i="1"/>
  <c r="E451" i="1" s="1"/>
  <c r="F482" i="1"/>
  <c r="F481" i="1" s="1"/>
  <c r="F480" i="1" s="1"/>
  <c r="E502" i="1"/>
  <c r="E556" i="1"/>
  <c r="E555" i="1" s="1"/>
  <c r="E547" i="1" s="1"/>
  <c r="E634" i="1"/>
  <c r="E633" i="1" s="1"/>
  <c r="E626" i="1" s="1"/>
  <c r="E658" i="1"/>
  <c r="E654" i="1" s="1"/>
  <c r="E653" i="1" s="1"/>
  <c r="F212" i="1"/>
  <c r="F211" i="1" s="1"/>
  <c r="F206" i="1" s="1"/>
  <c r="E220" i="1"/>
  <c r="E259" i="1"/>
  <c r="E255" i="1" s="1"/>
  <c r="E265" i="1"/>
  <c r="E264" i="1" s="1"/>
  <c r="F337" i="1"/>
  <c r="F336" i="1" s="1"/>
  <c r="F335" i="1" s="1"/>
  <c r="F334" i="1" s="1"/>
  <c r="E408" i="1"/>
  <c r="E407" i="1" s="1"/>
  <c r="E406" i="1" s="1"/>
  <c r="F20" i="1"/>
  <c r="F19" i="1" s="1"/>
  <c r="F14" i="1" s="1"/>
  <c r="F136" i="1"/>
  <c r="F135" i="1" s="1"/>
  <c r="F134" i="1" s="1"/>
  <c r="F452" i="1"/>
  <c r="F451" i="1" s="1"/>
  <c r="G502" i="1"/>
  <c r="G556" i="1"/>
  <c r="G555" i="1" s="1"/>
  <c r="F658" i="1"/>
  <c r="F654" i="1" s="1"/>
  <c r="F653" i="1" s="1"/>
  <c r="F390" i="1"/>
  <c r="F384" i="1" s="1"/>
  <c r="F383" i="1" s="1"/>
  <c r="G634" i="1"/>
  <c r="G633" i="1" s="1"/>
  <c r="G626" i="1" s="1"/>
  <c r="F634" i="1"/>
  <c r="F633" i="1" s="1"/>
  <c r="F626" i="1" s="1"/>
  <c r="F514" i="1"/>
  <c r="F513" i="1" s="1"/>
  <c r="G514" i="1"/>
  <c r="G513" i="1" s="1"/>
  <c r="E482" i="1"/>
  <c r="E481" i="1" s="1"/>
  <c r="E480" i="1" s="1"/>
  <c r="E646" i="1"/>
  <c r="E645" i="1" s="1"/>
  <c r="E360" i="1"/>
  <c r="F603" i="1"/>
  <c r="G272" i="1" l="1"/>
  <c r="G271" i="1" s="1"/>
  <c r="G270" i="1" s="1"/>
  <c r="F272" i="1"/>
  <c r="F271" i="1" s="1"/>
  <c r="F270" i="1" s="1"/>
  <c r="E479" i="1"/>
  <c r="G14" i="1"/>
  <c r="G450" i="1"/>
  <c r="E14" i="1"/>
  <c r="F450" i="1"/>
  <c r="E450" i="1"/>
  <c r="G382" i="1"/>
  <c r="G381" i="1" s="1"/>
  <c r="F382" i="1"/>
  <c r="F381" i="1" s="1"/>
  <c r="F468" i="1"/>
  <c r="F467" i="1" s="1"/>
  <c r="F449" i="1" s="1"/>
  <c r="G547" i="1"/>
  <c r="G546" i="1" s="1"/>
  <c r="G545" i="1" s="1"/>
  <c r="E546" i="1"/>
  <c r="E545" i="1" s="1"/>
  <c r="F547" i="1"/>
  <c r="F546" i="1" s="1"/>
  <c r="F545" i="1" s="1"/>
  <c r="G468" i="1"/>
  <c r="G467" i="1" s="1"/>
  <c r="E468" i="1"/>
  <c r="E467" i="1" s="1"/>
  <c r="E383" i="1"/>
  <c r="E382" i="1" s="1"/>
  <c r="E381" i="1" s="1"/>
  <c r="G108" i="1"/>
  <c r="G107" i="1" s="1"/>
  <c r="G106" i="1" s="1"/>
  <c r="F108" i="1"/>
  <c r="F107" i="1" s="1"/>
  <c r="F106" i="1" s="1"/>
  <c r="F616" i="1"/>
  <c r="G616" i="1"/>
  <c r="G479" i="1"/>
  <c r="F205" i="1"/>
  <c r="F133" i="1" s="1"/>
  <c r="G644" i="1"/>
  <c r="G205" i="1"/>
  <c r="G133" i="1" s="1"/>
  <c r="F644" i="1"/>
  <c r="E587" i="1"/>
  <c r="E108" i="1"/>
  <c r="E107" i="1" s="1"/>
  <c r="E106" i="1" s="1"/>
  <c r="E616" i="1"/>
  <c r="G254" i="1"/>
  <c r="G228" i="1" s="1"/>
  <c r="F501" i="1"/>
  <c r="F500" i="1" s="1"/>
  <c r="F587" i="1"/>
  <c r="F479" i="1"/>
  <c r="E501" i="1"/>
  <c r="E500" i="1" s="1"/>
  <c r="F254" i="1"/>
  <c r="F228" i="1" s="1"/>
  <c r="E205" i="1"/>
  <c r="E133" i="1" s="1"/>
  <c r="E254" i="1"/>
  <c r="E228" i="1" s="1"/>
  <c r="E227" i="1" s="1"/>
  <c r="G587" i="1"/>
  <c r="G501" i="1"/>
  <c r="G500" i="1" s="1"/>
  <c r="E644" i="1"/>
  <c r="G227" i="1" l="1"/>
  <c r="F227" i="1"/>
  <c r="G449" i="1"/>
  <c r="G380" i="1" s="1"/>
  <c r="E449" i="1"/>
  <c r="E380" i="1" s="1"/>
  <c r="F582" i="1"/>
  <c r="G582" i="1"/>
  <c r="E582" i="1"/>
  <c r="F380" i="1"/>
  <c r="F682" i="1" l="1"/>
  <c r="E682" i="1"/>
  <c r="G682" i="1"/>
</calcChain>
</file>

<file path=xl/comments1.xml><?xml version="1.0" encoding="utf-8"?>
<comments xmlns="http://schemas.openxmlformats.org/spreadsheetml/2006/main">
  <authors>
    <author>Kovaleva</author>
  </authors>
  <commentList>
    <comment ref="A413" authorId="0">
      <text>
        <r>
          <rPr>
            <b/>
            <sz val="9"/>
            <color indexed="81"/>
            <rFont val="Tahoma"/>
            <family val="2"/>
            <charset val="204"/>
          </rPr>
          <t>Kovaleva:</t>
        </r>
        <r>
          <rPr>
            <sz val="9"/>
            <color indexed="81"/>
            <rFont val="Tahoma"/>
            <family val="2"/>
            <charset val="204"/>
          </rPr>
          <t xml:space="preserve">
убрать слова в государственных</t>
        </r>
      </text>
    </comment>
  </commentList>
</comments>
</file>

<file path=xl/sharedStrings.xml><?xml version="1.0" encoding="utf-8"?>
<sst xmlns="http://schemas.openxmlformats.org/spreadsheetml/2006/main" count="1994" uniqueCount="669">
  <si>
    <t>к решению Благовещенской</t>
  </si>
  <si>
    <t>городской Думы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</si>
  <si>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</si>
  <si>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тыс.рублей</t>
  </si>
  <si>
    <t>Наименование</t>
  </si>
  <si>
    <t>РПР</t>
  </si>
  <si>
    <t>ЦСР</t>
  </si>
  <si>
    <t>ВР</t>
  </si>
  <si>
    <t>План                            на 2021 год</t>
  </si>
  <si>
    <t>Плановый период</t>
  </si>
  <si>
    <t>2022 год</t>
  </si>
  <si>
    <t>2023 год</t>
  </si>
  <si>
    <t>Общегосударственные вопросы</t>
  </si>
  <si>
    <t>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</si>
  <si>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</si>
  <si>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</si>
  <si>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Непрограммные расходы</t>
  </si>
  <si>
    <t>00 0 00 00000</t>
  </si>
  <si>
    <t>Глава муниципального образования</t>
  </si>
  <si>
    <t>00 0 00 00010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</si>
  <si>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</si>
  <si>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</si>
  <si>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</si>
  <si>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</si>
  <si>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00 0 00 00020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</si>
  <si>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</si>
  <si>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</si>
  <si>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</si>
  <si>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</si>
  <si>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</si>
  <si>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</si>
  <si>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</si>
  <si>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Компенсация расходов, связанных с депутатской деятельностью</t>
  </si>
  <si>
    <t>00 0 00 00060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</si>
  <si>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</si>
  <si>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</si>
  <si>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</si>
  <si>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</si>
  <si>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Социальное обеспечение и иные выплаты населению</t>
  </si>
  <si>
    <t>Иные бюджетные ассигнования</t>
  </si>
  <si>
    <t>Расходы на выполнение государственных полномочий</t>
  </si>
  <si>
    <t>00 1 00 00000</t>
  </si>
  <si>
    <t>00 1 00 87290</t>
  </si>
  <si>
    <t>00 1 00 87360</t>
  </si>
  <si>
    <t>100</t>
  </si>
  <si>
    <t>200</t>
  </si>
  <si>
    <t>00 1 00 88430</t>
  </si>
  <si>
    <t>Судебная система</t>
  </si>
  <si>
    <t>0105</t>
  </si>
  <si>
    <t>Субвенции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</si>
  <si>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00 1 00 51200</t>
  </si>
  <si>
    <t>Предоставление субсидий бюджетным, автономным
учреждениям и иным некоммерческим организациям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</si>
  <si>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</si>
  <si>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</si>
  <si>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</si>
  <si>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</si>
  <si>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</si>
  <si>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</si>
  <si>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Другие общегосударственные вопросы</t>
  </si>
  <si>
    <t>0113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</si>
  <si>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</si>
  <si>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</si>
  <si>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</si>
  <si>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</si>
  <si>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</si>
  <si>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</si>
  <si>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Муниципальная программа "Обеспечение доступным и комфортным жильем населения города Благовещенска"</t>
  </si>
  <si>
    <t>01 0 00 00000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</si>
  <si>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</si>
  <si>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</si>
  <si>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</si>
  <si>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</si>
  <si>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Расходы на обеспечение деятельности (оказание услуг, выполнение работ) муниципальных организаций (учреждений)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</si>
  <si>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</si>
  <si>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</si>
  <si>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</si>
  <si>
    <t>03 0 00 00000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</si>
  <si>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</si>
  <si>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</si>
  <si>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</si>
  <si>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</si>
  <si>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</si>
  <si>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</si>
  <si>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Национальная оборона</t>
  </si>
  <si>
    <t>0200</t>
  </si>
  <si>
    <t>Мобилизационная подготовка экономики</t>
  </si>
  <si>
    <t>0204</t>
  </si>
  <si>
    <t>Мобилизационная подготовка</t>
  </si>
  <si>
    <t>00 0 00 00090</t>
  </si>
  <si>
    <t xml:space="preserve">Национальная безопасность 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</si>
  <si>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</si>
  <si>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</si>
  <si>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</si>
  <si>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безопасности жизнедеятельности населения и территории города Благовещенска"</t>
  </si>
  <si>
    <t>08 0 00 00000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</si>
  <si>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</si>
  <si>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</si>
  <si>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</si>
  <si>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</si>
  <si>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 функционирования АПК "Безопасный город" и комплексной системы экстренного оповещения населения, информационное обеспечение и пропаганда нарушений общественного порядка, терроризма и экстремизма</t>
  </si>
  <si>
    <t>08 1 01 10340</t>
  </si>
  <si>
    <t>Софинансирование расходов, связанных с развитием аппаратно-программного комплекса "Безопасный город"</t>
  </si>
  <si>
    <t>08 1 01 S1590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</si>
  <si>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</si>
  <si>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</si>
  <si>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</si>
  <si>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</si>
  <si>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</si>
  <si>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</si>
  <si>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</si>
  <si>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</si>
  <si>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</si>
  <si>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</si>
  <si>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</si>
  <si>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</si>
  <si>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</si>
  <si>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</si>
  <si>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</si>
  <si>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</si>
  <si>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</si>
  <si>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</si>
  <si>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08 5 01 10590</t>
  </si>
  <si>
    <t>Национальная экономика</t>
  </si>
  <si>
    <t>0400</t>
  </si>
  <si>
    <t>Сельское хозяйство и рыболовство</t>
  </si>
  <si>
    <t>0405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</si>
  <si>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</si>
  <si>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</si>
  <si>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</si>
  <si>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</si>
  <si>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</si>
  <si>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</si>
  <si>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Содержание муниципального приюта</t>
  </si>
  <si>
    <t>08 4 01 10750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</si>
  <si>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</si>
  <si>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>08 4 01 69700</t>
  </si>
  <si>
    <t>Водное хозяйство</t>
  </si>
  <si>
    <t>0406</t>
  </si>
  <si>
    <t>Капитальные вложения в объекты муниципальной собственности (Берегоукрепление и реконструкция набережной р.Амур, г.Благовещенск (4-й этап строительства: 1 пусковой комплекс, 2 пусковой комплекс, 3 пусковой комплекс (участок № 10), завершение строительства 2 очереди 1 пускового комплекса участка № 5, 2 пускового комплекса участка № 5 и участка № 6 в составе 3-го этапа строительства объекта)</t>
  </si>
  <si>
    <t>08 4 01 S7110</t>
  </si>
  <si>
    <t>Транспорт</t>
  </si>
  <si>
    <t>0408</t>
  </si>
  <si>
    <t>Муниципальная программа "Развитие транспортной системы города Благовещенска"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</si>
  <si>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</si>
  <si>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</si>
  <si>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</si>
  <si>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</si>
  <si>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</si>
  <si>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Организация транспортного обслуживания населения</t>
  </si>
  <si>
    <t>02 2 01 S0680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</si>
  <si>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</si>
  <si>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</si>
  <si>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</si>
  <si>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</si>
  <si>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</si>
  <si>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</si>
  <si>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</si>
  <si>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</si>
  <si>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</si>
  <si>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</si>
  <si>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"Региональный проект "Дорожная сеть"</t>
  </si>
  <si>
    <t>02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</si>
  <si>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</si>
  <si>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 53930</t>
  </si>
  <si>
    <t>Основное мероприятие "Развитие улично-дорожной сети города Благовещенска"</t>
  </si>
  <si>
    <t>02 1 01 00000</t>
  </si>
  <si>
    <t>02 1 01 S7480</t>
  </si>
  <si>
    <t>Капитальный ремонт автомобильного моста через р.Зея, г.Благовещенск, Амурская область</t>
  </si>
  <si>
    <t>02 1 01 40860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</si>
  <si>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</si>
  <si>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</si>
  <si>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</si>
  <si>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</si>
  <si>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</si>
  <si>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S0180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</si>
  <si>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</si>
  <si>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>02 1 01 S7711</t>
  </si>
  <si>
    <t>Обеспечение транспортной безопасности на объектах транспортной инфраструктуры (мост через р.Зея)</t>
  </si>
  <si>
    <t>08 1 01 10680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</si>
  <si>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</si>
  <si>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</si>
  <si>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и туризма на территории города Благовещенска"</t>
  </si>
  <si>
    <t>09 0 00 00000</t>
  </si>
  <si>
    <t>Подпрограмма "Развитие туризма в городе Благовещенске</t>
  </si>
  <si>
    <t>09 1 00 00000</t>
  </si>
  <si>
    <t>Основное мероприятие "Совершенствование инфраструктуры досуга и массового отдыха для жителей и гостей города"</t>
  </si>
  <si>
    <t>09 1 03 00000</t>
  </si>
  <si>
    <t>Капитальные вложения в объекты муниципальной собственности (Большой городской центр "Трибуна Холл" г. Благовещенск, Амурская область)</t>
  </si>
  <si>
    <t>09 1 03 S7110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</si>
  <si>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</si>
  <si>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</si>
  <si>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</si>
  <si>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</si>
  <si>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</si>
  <si>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</si>
  <si>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</si>
  <si>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09 2 01 S0130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</si>
  <si>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</si>
  <si>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</si>
  <si>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</si>
  <si>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</si>
  <si>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>Предоставление субсидий бюджетным, автономным учреждениям и иным некоммерческим организациям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</si>
  <si>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</si>
  <si>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</si>
  <si>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</si>
  <si>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</si>
  <si>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</si>
  <si>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</si>
  <si>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</si>
  <si>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</si>
  <si>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</si>
  <si>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</si>
  <si>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</si>
  <si>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</si>
  <si>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</si>
  <si>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</si>
  <si>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Приобретение квартир в муниципальную собственность по решениям суда</t>
  </si>
  <si>
    <t>00 0 00 70030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</si>
  <si>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</si>
  <si>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</si>
  <si>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</si>
  <si>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</si>
  <si>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Обеспечение мероприятий по сносу аварийных домов</t>
  </si>
  <si>
    <t>01 1 01 10490</t>
  </si>
  <si>
    <t>Содержание и ремонт муниципального жилья</t>
  </si>
  <si>
    <t>01 4 01 60010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</si>
  <si>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</si>
  <si>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</si>
  <si>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</si>
  <si>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</si>
  <si>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</si>
  <si>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</si>
  <si>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</si>
  <si>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</si>
  <si>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</si>
  <si>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</si>
  <si>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</si>
  <si>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</si>
  <si>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</si>
  <si>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</si>
  <si>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</si>
  <si>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</si>
  <si>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</si>
  <si>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 Благовещенска</t>
  </si>
  <si>
    <t>03 3 01 10220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</si>
  <si>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</si>
  <si>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</si>
  <si>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</si>
  <si>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</si>
  <si>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</si>
  <si>
    <t>Основное мероприятие "Региональный проект "Чистая вода"</t>
  </si>
  <si>
    <t>03 1 G5 00000</t>
  </si>
  <si>
    <t>Строительство и реконструкция (модернизация) объектов питьевого водоснабжения</t>
  </si>
  <si>
    <t>03 1 G5 52430</t>
  </si>
  <si>
    <t>Основное мероприятие "Региональный проект "Жилье"</t>
  </si>
  <si>
    <t>03 1 F1 00000</t>
  </si>
  <si>
    <t xml:space="preserve">Стимулирование программ развития жилищного строительства субъектов Российской Федерации (Строительство, реконструкция и расширение систем водоснабжения и канализации в г. Благовещенске (водовод от насосной станции второго подъема водозабора "Северный "до распределительной сети города) </t>
  </si>
  <si>
    <t>03 1 F1 50210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</si>
  <si>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</si>
  <si>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</si>
  <si>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Выполнение работ по разработке схемы водоснабжения и водоотведения города Благовещенска</t>
  </si>
  <si>
    <t>03 1 01 10650</t>
  </si>
  <si>
    <t>Выполнение работ по актуализации схемы теплоснабжения города Благовещенска</t>
  </si>
  <si>
    <t>03 1 01 10651</t>
  </si>
  <si>
    <t>03 1 01 S7400</t>
  </si>
  <si>
    <t>Разработка проектно-сметной документации для строительства внутрипоселковых газораспределительных сетей</t>
  </si>
  <si>
    <t>03 1 01 S8984</t>
  </si>
  <si>
    <t>Строительство водопроводных сетей в районе "5-й стройки", второй этап</t>
  </si>
  <si>
    <t>03 1 01 40090</t>
  </si>
  <si>
    <t xml:space="preserve">Реконструкция очистных сооружений Северного жилого района, г. Благовещенск, Амурская область </t>
  </si>
  <si>
    <t>03 1 01 40330</t>
  </si>
  <si>
    <t>Тепло- и водоснабжение жилых домов в районе "Астрахановка" г. Благовещенск (в т.ч. проектные работы)</t>
  </si>
  <si>
    <t>03 1 01 40580</t>
  </si>
  <si>
    <t>Сливная станция с. Садовое, Амурская область (в т.ч. проектные работы)</t>
  </si>
  <si>
    <t>03 1 01 40660</t>
  </si>
  <si>
    <t>Строительство сетей водоснабжения в кварталах 197, 203, 204 г. Благовещенск, Амурская область (в т.ч. проектные работы)</t>
  </si>
  <si>
    <t>03 1 01 40690</t>
  </si>
  <si>
    <t>Ликвидационный тампонаж скважины в с.Белогорье</t>
  </si>
  <si>
    <t>03 1 01 40720</t>
  </si>
  <si>
    <t>Реконструкция водозабора Северного жилого района, г.Благовещенск, Амурская область</t>
  </si>
  <si>
    <t>03 1 01 40870</t>
  </si>
  <si>
    <t>Ремонт тепловой сети по ул. Артиллерийской от ТК 13 Ц до ТК 512</t>
  </si>
  <si>
    <t>03 1 01 40880</t>
  </si>
  <si>
    <t>Подключение объектов котельной Ростелеком к сетям централизованного теплоснабжения</t>
  </si>
  <si>
    <t>03 1 01 40890</t>
  </si>
  <si>
    <t>Финансовое обеспечение государственных полномочий по компенсации выпадающих доходов теплоснабжающих организаций</t>
  </si>
  <si>
    <t>03 1 01 87120</t>
  </si>
  <si>
    <t>Субсидии юридическим лицам, предоставляющим населению услуги в отделениях бань</t>
  </si>
  <si>
    <t>03 1 02 60150</t>
  </si>
  <si>
    <t>Оборудование контейнерных площадок для сбора твердых коммунальных отходов</t>
  </si>
  <si>
    <t>03 1 03 S7330</t>
  </si>
  <si>
    <t xml:space="preserve">Благоустройство </t>
  </si>
  <si>
    <t>0503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</si>
  <si>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</si>
  <si>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</si>
  <si>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</si>
  <si>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</si>
  <si>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</si>
  <si>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03 4 01 60110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</si>
  <si>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</si>
  <si>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</si>
  <si>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</si>
  <si>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</si>
  <si>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</si>
  <si>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</si>
  <si>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</si>
  <si>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</si>
  <si>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</si>
  <si>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</si>
  <si>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Основное мероприятие "Развитие административного центра Амурской области"</t>
  </si>
  <si>
    <t>03 4 02 00000</t>
  </si>
  <si>
    <t>Поддержка административного центра Амурской области</t>
  </si>
  <si>
    <t>03 4 02 S0560</t>
  </si>
  <si>
    <t>Муниципальная программа "Формирование современной городской среды на территории города Благовещенска на 2018-2024 годы"</t>
  </si>
  <si>
    <t>13 0 00 00000</t>
  </si>
  <si>
    <t>13 0 F2 00000</t>
  </si>
  <si>
    <t>Реализация  программ формирования современной городской среды</t>
  </si>
  <si>
    <t>13 0 F2 55550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</si>
  <si>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</si>
  <si>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</si>
  <si>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 "Обеспечение доступным и комфортным жильём населения города Благовещенск" и прочие расходы"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</si>
  <si>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</si>
  <si>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</si>
  <si>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</si>
  <si>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</si>
  <si>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</si>
  <si>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</si>
  <si>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</si>
  <si>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</si>
  <si>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</si>
  <si>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</si>
  <si>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</si>
  <si>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</si>
  <si>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</si>
  <si>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</si>
  <si>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Дошкольное  образование</t>
  </si>
  <si>
    <t>0701</t>
  </si>
  <si>
    <t>Муниципальная программа "Развитие образования города Благовещенска"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</si>
  <si>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</si>
  <si>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</si>
  <si>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</si>
  <si>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</si>
  <si>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</si>
  <si>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</si>
  <si>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Создание условий для осуществления присмотра и ухода за детьми в возрасте от 1,5 до 3 лет</t>
  </si>
  <si>
    <t>04 1 01 88500</t>
  </si>
  <si>
    <t>600</t>
  </si>
  <si>
    <t>Основное мероприятие "Развитие инфраструктуры  дошкольного и общего образования"</t>
  </si>
  <si>
    <t>04 1 02 00000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</si>
  <si>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</si>
  <si>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</si>
  <si>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Дошкольное образовательное учреждение на 350 мест в Северном планировочном районе г. Благовещенск, Амурская область (в т.ч.проектные работы)</t>
  </si>
  <si>
    <t>04 1 02 40730</t>
  </si>
  <si>
    <t>Основное мероприятие "Реализация мероприятий по развитию и сохранению образования в городе Благовещенске</t>
  </si>
  <si>
    <t>04 1 04 00000</t>
  </si>
  <si>
    <t>Поддержка инициатив в сфере  образования города Благовещенска</t>
  </si>
  <si>
    <t>04 1 04 80020</t>
  </si>
  <si>
    <t>Подпрограмма  "Обеспечение реализации муниципальной программы "Развитие образования города Благовещенска"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</si>
  <si>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</si>
  <si>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</si>
  <si>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</si>
  <si>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</si>
  <si>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</si>
  <si>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</si>
  <si>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</si>
  <si>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>Основное мероприятие "Региональный проект "Современная школа"</t>
  </si>
  <si>
    <t>04 1 E1 00000</t>
  </si>
  <si>
    <t>Создание новых мест в общеобразовательных организациях</t>
  </si>
  <si>
    <t>04 1 E1 55200</t>
  </si>
  <si>
    <t>04 1 01 L3040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</si>
  <si>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</si>
  <si>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</si>
  <si>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</si>
  <si>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</si>
  <si>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</si>
  <si>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</si>
  <si>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Софинансирование расходных обязательств на обеспечение бесплатным двухразовым 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</si>
  <si>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</si>
  <si>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</t>
  </si>
  <si>
    <t>04 1 01 53030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</si>
  <si>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</si>
  <si>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04 1 01 80740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</si>
  <si>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</si>
  <si>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>04 1 01 S8490</t>
  </si>
  <si>
    <t>Основное мероприятие "Развитие инфраструктуры  дошкольного, общего и дополнительного образования"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</si>
  <si>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</si>
  <si>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</si>
  <si>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</si>
  <si>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</si>
  <si>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Обеспечение функционирования системы персонифицированного финансирования дополнительного образования детей</t>
  </si>
  <si>
    <t>04 1 01 10591</t>
  </si>
  <si>
    <t>Муниципальная программа "Развитие и сохранение культуры в городе  Благовещенске"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</si>
  <si>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</si>
  <si>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</si>
  <si>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</si>
  <si>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</si>
  <si>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</si>
  <si>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</si>
  <si>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>Софинансирование расходов  по модернизации муниципальных детских школ искусств</t>
  </si>
  <si>
    <t>05 2 01 L3060</t>
  </si>
  <si>
    <t xml:space="preserve">Молодежная политика  </t>
  </si>
  <si>
    <t>0707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</si>
  <si>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</si>
  <si>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</si>
  <si>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</si>
  <si>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</si>
  <si>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</si>
  <si>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</si>
  <si>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</si>
  <si>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</si>
  <si>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Софинансирование расходных обязательств на частичную оплату стоимости путевок для детей работающих граждан в организации отдыха и оздоровления детей в каникулярное время</t>
  </si>
  <si>
    <t>04 2 02 S7500</t>
  </si>
  <si>
    <t>Муниципальная программа "Развитие потенциала молодежи города Благовещенска"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</si>
  <si>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</si>
  <si>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</si>
  <si>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</si>
  <si>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</si>
  <si>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</si>
  <si>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 и грантов  в сфере молодежной политики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</si>
  <si>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</si>
  <si>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</si>
  <si>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</si>
  <si>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</si>
  <si>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Другие вопросы в области образования</t>
  </si>
  <si>
    <t>0709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</si>
  <si>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</si>
  <si>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04 1 01 87250</t>
  </si>
  <si>
    <t xml:space="preserve"> Организация бесплатного горячего питания обучающихся, получающих начальное общее образование в  муниципальных образовательных организациях ( в части финансового обеспечения материальных средств для осуществления государственного полномочия)</t>
  </si>
  <si>
    <t>04 1 01 88530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</si>
  <si>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</si>
  <si>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</si>
  <si>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</si>
  <si>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>04 2 01 11020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</si>
  <si>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образовательной организации, до окончания обучения</t>
  </si>
  <si>
    <t>04 2 01 70000</t>
  </si>
  <si>
    <t>04 2 01 87300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</si>
  <si>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</si>
  <si>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04 2 01 87700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</si>
  <si>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</si>
  <si>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</si>
  <si>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</si>
  <si>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</si>
  <si>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Подпрограмма "Обеспечение реализации муниципальной программы "Развитие образования города Благовещенска"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</si>
  <si>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</si>
  <si>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</si>
  <si>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</si>
  <si>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</si>
  <si>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Основное мероприятие «Развитие, поддержка и совершенствование системы кадрового потенциала педагогического корпуса»</t>
  </si>
  <si>
    <t xml:space="preserve">Культура, кинематография </t>
  </si>
  <si>
    <t>0800</t>
  </si>
  <si>
    <t xml:space="preserve">Культура </t>
  </si>
  <si>
    <t>0801</t>
  </si>
  <si>
    <t>Подпрограмма 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</si>
  <si>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</si>
  <si>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</si>
  <si>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</si>
  <si>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</si>
  <si>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</si>
  <si>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</si>
  <si>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</si>
  <si>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</si>
  <si>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</si>
  <si>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</si>
  <si>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4 01 L4670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</si>
  <si>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</si>
  <si>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</si>
  <si>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</si>
  <si>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</si>
  <si>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</si>
  <si>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</si>
  <si>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</si>
  <si>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</si>
  <si>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</si>
  <si>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</si>
  <si>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</si>
  <si>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</si>
  <si>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</si>
  <si>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05 5 01 10590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</si>
  <si>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</si>
  <si>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</si>
  <si>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</si>
  <si>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</si>
  <si>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</si>
  <si>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</si>
  <si>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</si>
  <si>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</si>
  <si>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</si>
  <si>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00 0 00 80120</t>
  </si>
  <si>
    <t>Социальное обеспечение населения</t>
  </si>
  <si>
    <t>1003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</si>
  <si>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</si>
  <si>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</si>
  <si>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</si>
  <si>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</si>
  <si>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</si>
  <si>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</si>
  <si>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</si>
  <si>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</si>
  <si>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</si>
  <si>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</si>
  <si>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>Субсидия юридическим лицам, индивидуальным предпринимателям на возмещение недополученных доходов в связи с бесплатным предоставлением отдельным категориям граждан парикмахерских услуг (стрижка волос)</t>
  </si>
  <si>
    <t>00 0 00 80150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</si>
  <si>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</si>
  <si>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</si>
  <si>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</si>
  <si>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</si>
  <si>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</si>
  <si>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</si>
  <si>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</si>
  <si>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</si>
  <si>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</si>
  <si>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</si>
  <si>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01 3 01 00000</t>
  </si>
  <si>
    <t>Реализация мероприятий по обеспечению жильём молодых семей</t>
  </si>
  <si>
    <t>01 3 01 L4970</t>
  </si>
  <si>
    <t>Подпрограмма "Улучшение жилищных условий отдельных категорий граждан, проживающих на территории города Благовещенска"</t>
  </si>
  <si>
    <t>01 6 00 00000</t>
  </si>
  <si>
    <t>Основное мероприятие "Государственная поддержка в обеспечении жильем отдельных категорий граждан"</t>
  </si>
  <si>
    <t>01 6 01 00000</t>
  </si>
  <si>
    <t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</t>
  </si>
  <si>
    <t>01  6 01 S0700</t>
  </si>
  <si>
    <t>Охрана семьи и детства</t>
  </si>
  <si>
    <t>1004</t>
  </si>
  <si>
    <t>Подпрограмма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</si>
  <si>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01 5 00 00000</t>
  </si>
  <si>
    <t>Основное мероприятие "Государственная поддержка детей-сирот, детей, оставшихся без попечения родителей, а также лиц из числа детей-сирот и детей, оставшихся без попечения родителей"</t>
  </si>
  <si>
    <t>01 5 01 00000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</si>
  <si>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</si>
  <si>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01 R0820</t>
  </si>
  <si>
    <t>400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</si>
  <si>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</si>
  <si>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01 5 01 80710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</si>
  <si>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</si>
  <si>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01 5 01 87640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</si>
  <si>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</si>
  <si>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</si>
  <si>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</si>
  <si>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</si>
  <si>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</si>
  <si>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</si>
  <si>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</si>
  <si>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</si>
  <si>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</si>
  <si>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Основное мероприятие "Региональный проект "Спорт- норма жизни"</t>
  </si>
  <si>
    <t xml:space="preserve"> 06 0 Р5 52280</t>
  </si>
  <si>
    <t xml:space="preserve"> Оснащение объектов спортивной инфраструктуры спортивно-технологическим оборудованием </t>
  </si>
  <si>
    <t>Массовый спорт</t>
  </si>
  <si>
    <t>1102</t>
  </si>
  <si>
    <t>Муниципальная программа "Развитие физической культуры и спорта в городе Благовещенске "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</si>
  <si>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</si>
  <si>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</si>
  <si>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</si>
  <si>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</si>
  <si>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</si>
  <si>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</si>
  <si>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</si>
  <si>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</si>
  <si>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</si>
  <si>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</si>
  <si>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</si>
  <si>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</si>
  <si>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</si>
  <si>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</si>
  <si>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</si>
  <si>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</si>
  <si>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</si>
  <si>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</si>
  <si>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1300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</si>
  <si>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</si>
  <si>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</si>
  <si>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</si>
  <si>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</si>
  <si>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Итого расходов</t>
  </si>
  <si>
    <t>Финансовое обеспечение государственных полномочий по созданию и организации деятельности комиссий по делам несовершеннолетних  и защите их прав при администрациях городских округов и муниципальных районов</t>
  </si>
  <si>
    <t>Финансовое обеспечение государственных полномочий по организации и осуществлению деятельности по опеке  и попечительству в отношении совершеннолетних лиц, признанных судом  недееспособными или ограниченными в дееспособности по основаниям,  указанным в статьях 29 и 30 Гражданского кодекса Российской Федерации</t>
  </si>
  <si>
    <t xml:space="preserve">Финансовое обеспечение государственных полномочий по организационному обеспечению деятельности административных комиссий </t>
  </si>
  <si>
    <t>Обслуживание  государственного (муниципального) долга</t>
  </si>
  <si>
    <t>Обслуживание государственного (муниципального) внутреннего долга</t>
  </si>
  <si>
    <t>Капитальные вложения в объекты государственной (муниципальной) собственности</t>
  </si>
  <si>
    <t>04 1 01 S7740</t>
  </si>
  <si>
    <t>от 10.12.2020 № 19/130</t>
  </si>
  <si>
    <t xml:space="preserve"> 06 0 Р5 00000</t>
  </si>
  <si>
    <t>"Приложение № 6</t>
  </si>
  <si>
    <t>"</t>
  </si>
  <si>
    <t>Разработка проектно-сметной документации для строительства и реконструкции (модернизации) объектов питьевого водоснабжения.</t>
  </si>
  <si>
    <t>03 1 G5 S0670</t>
  </si>
  <si>
    <t>Стимулирование программ развития жилищного строительства субъектов Российской Федерации (Строительство, реконструкция и расширение систем водоснабжения и канализации в г. Благовещенске (водовод от насосной станции второго подъема водозабора "Северный "до распределительной сети города. Осуществление строительного контроля)</t>
  </si>
  <si>
    <t>03 1 F1 50211</t>
  </si>
  <si>
    <t xml:space="preserve">Основное мероприятие "Разработка документации по тактическому благоустройству улиц, общественных пространств, парков, скверов" </t>
  </si>
  <si>
    <t>Разработка документации по тактическому благоустройству улиц, общественных пространств, парков, скверов города Благовещенска</t>
  </si>
  <si>
    <t>13 0 03 00000</t>
  </si>
  <si>
    <t>13 0 03 10760</t>
  </si>
  <si>
    <t>Финансирование непредвиденных расходов и обязательств за счет резервного фонда Правительства Амурской области</t>
  </si>
  <si>
    <t>00 0 00 10620</t>
  </si>
  <si>
    <t>Финансовое обеспечение государственных полномочий по компенсации выпадающих доходов теплоснабжающим организациям, осуществляющим производство тепловой энергии в режиме комбинированной выработки электрической и тепловой энергии, возникающих в результате реализации тепловой энергии по льготным тарифам</t>
  </si>
  <si>
    <t>03 1 01 80770</t>
  </si>
  <si>
    <t>Создание модельных муниципальных библиотек</t>
  </si>
  <si>
    <t>05 3 А1 00000</t>
  </si>
  <si>
    <t>05 3 А1 54540</t>
  </si>
  <si>
    <t>Основное мероприятие «Обустройство мест массового  культурного досуга и активного отдыха жителей города Благовещенска»</t>
  </si>
  <si>
    <t>05 5 03 00000</t>
  </si>
  <si>
    <t>05 2 А1 00000</t>
  </si>
  <si>
    <t>05 2 А1 55192</t>
  </si>
  <si>
    <t>02 2 01 10590</t>
  </si>
  <si>
    <t xml:space="preserve">Строительство мусороперерабатывающего комплекса "БлагЭко" в г. Благовещенске. (II очередь), Амурская область </t>
  </si>
  <si>
    <t>03 1 01 40110</t>
  </si>
  <si>
    <t>08 4 01 10590</t>
  </si>
  <si>
    <t>Разработка комплексной схемы организации транспортного обслуживания населения общественным транспортом</t>
  </si>
  <si>
    <t>02 2 01 10760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</si>
  <si>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(осуществление строительного контроля)</t>
  </si>
  <si>
    <t>02 1 R1 53931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</si>
  <si>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(осуществление строительного контроля)</t>
  </si>
  <si>
    <t>02 1 01 S7481</t>
  </si>
  <si>
    <t>Строительство инженерной инфраструктуры к физкультурно-оздоровительному комплексу в квартале 266 г. Благовещенск, Амурская область (проектные работы)</t>
  </si>
  <si>
    <t>03 1 01 40840</t>
  </si>
  <si>
    <t>Обеспечение информационного сопровождения мероприятий по переселению граждан из аварийного жилищного фонда</t>
  </si>
  <si>
    <t>01 1 01 10770</t>
  </si>
  <si>
    <t>04 1 01 10593</t>
  </si>
  <si>
    <t>Финансовое обеспечение расходов, связанных с созданием и содержанием дорожного патруля</t>
  </si>
  <si>
    <t>02 1 01 S8540</t>
  </si>
  <si>
    <t>800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</si>
  <si>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</si>
  <si>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Расходы, направленные на модернизацию коммунальной инфраструктуры</t>
  </si>
  <si>
    <t>Мероприятия по разработке проектно-сметной документации для перевода объектов жилищно-коммунального хозяйства на потребление природного газа</t>
  </si>
  <si>
    <t>03 1 01 S0540</t>
  </si>
  <si>
    <t>Основное мероприятие "Региональный проект "Формирование комфортной городской среды"</t>
  </si>
  <si>
    <t>Условно утверждаемые расходы</t>
  </si>
  <si>
    <t>Субсидии юридическим лицам на финансовое обеспечение(возмещение) затрат, связанных с обустройством мест массового отдыха населения (парков)</t>
  </si>
  <si>
    <t>05 5 03 60351</t>
  </si>
  <si>
    <t>Основное мероприятие "Региональный проект "Культурная среда"</t>
  </si>
  <si>
    <t>Проведение Всероссийской переписи населения 2020 года</t>
  </si>
  <si>
    <t>00 1  00 54690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</si>
  <si>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</si>
  <si>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08 4 01 80510</t>
  </si>
  <si>
    <t>Основное мероприятие "Региональный проект "Чистая вода".</t>
  </si>
  <si>
    <t>03 1 F5 00000</t>
  </si>
  <si>
    <t>03 1 F5 52430</t>
  </si>
  <si>
    <t>03 1 F5 S0670</t>
  </si>
  <si>
    <t>04 1 02 S7110</t>
  </si>
  <si>
    <t>Разработка, актуализация проектов и схем организации дорожного движения на участках улично-дорожной сети города Благовещенска</t>
  </si>
  <si>
    <t>02 1 01 10730</t>
  </si>
  <si>
    <t>Организация бесплатного питания обучающихся в муниципальных образовательных организациях</t>
  </si>
  <si>
    <t>04 1 01 10594</t>
  </si>
  <si>
    <t>05 2 А1 55194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</si>
  <si>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</si>
  <si>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Обеспечение мероприятий по переселению граждан из аварийного жилищного фонда </t>
  </si>
  <si>
    <t>01 1 F3 00000</t>
  </si>
  <si>
    <t>01 1 F3 67483</t>
  </si>
  <si>
    <t>01 1 F3 67484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</si>
  <si>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</si>
  <si>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</si>
  <si>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01 1 01 80510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</si>
  <si>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</si>
  <si>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</si>
  <si>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</si>
  <si>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</si>
  <si>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Автобусная остановка с элементами МАФ (амурозавр)</t>
  </si>
  <si>
    <t>02 1 01 40870</t>
  </si>
  <si>
    <t>Капитальные вложения в объекты государственной (муниципальной) собственности (Крытый футбольный манеж в квартале 398 г.Благовещенска, Амурская область (в т.ч. проектные работы)</t>
  </si>
  <si>
    <t>04 1 02 10920</t>
  </si>
  <si>
    <t>Приложение № 3</t>
  </si>
  <si>
    <t>Организация бесплатного горячего питания обучающихся, получающих начальное общее образование в  муниципальных образовательных  организациях</t>
  </si>
  <si>
    <t>Модернизация систем общего образования</t>
  </si>
  <si>
    <t>Государственная поддержка отрасли культуры (оснащение музыкальными инструментами детских школ искусств и училищ)</t>
  </si>
  <si>
    <t>Государственная поддержка отрасли культуры (софинансирование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 путем их реконструкции, капитального ремонта)</t>
  </si>
  <si>
    <t>Субсидии казенным предприятиям на финансовое обеспечение затрат, связанных с организацией питания обучающихся в муниципальных общеобразовательных организациях</t>
  </si>
  <si>
    <r>
      <rPr>
        <b/>
        <sz val="11"/>
        <rFont val="Times New Roman"/>
        <family val="1"/>
        <charset val="204"/>
      </rPr>
      <t>Финансовое</t>
    </r>
    <r>
      <rPr>
        <sz val="11"/>
        <rFont val="Times New Roman"/>
        <family val="1"/>
        <charset val="204"/>
      </rPr>
      <t xml:space="preserve"> 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  </r>
  </si>
  <si>
    <r>
      <t xml:space="preserve"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 </t>
    </r>
    <r>
      <rPr>
        <b/>
        <sz val="11"/>
        <rFont val="Times New Roman"/>
        <family val="1"/>
        <charset val="204"/>
      </rPr>
      <t>лиц</t>
    </r>
  </si>
  <si>
    <t xml:space="preserve">        от 25.03.2021 №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</si>
</sst>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9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 Cyr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2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6" fillId="0" borderId="0"/>
    <xf numFmtId="43" fontId="6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4" fontId="3" fillId="0" borderId="1" xfId="1" applyNumberFormat="1" applyFont="1" applyFill="1" applyBorder="1" applyAlignment="1">
      <alignment horizontal="right"/>
    </xf>
    <xf numFmtId="0" fontId="8" fillId="0" borderId="0" xfId="1" applyFont="1" applyFill="1"/>
    <xf numFmtId="1" fontId="5" fillId="0" borderId="0" xfId="2" applyNumberFormat="1" applyFont="1" applyFill="1" applyBorder="1" applyAlignment="1">
      <alignment wrapText="1"/>
    </xf>
    <xf numFmtId="49" fontId="5" fillId="0" borderId="0" xfId="2" applyNumberFormat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64" fontId="5" fillId="0" borderId="0" xfId="3" applyNumberFormat="1" applyFont="1" applyFill="1" applyAlignment="1"/>
    <xf numFmtId="1" fontId="7" fillId="0" borderId="0" xfId="2" applyNumberFormat="1" applyFont="1" applyFill="1" applyBorder="1" applyAlignment="1">
      <alignment wrapText="1"/>
    </xf>
    <xf numFmtId="49" fontId="7" fillId="0" borderId="0" xfId="2" applyNumberFormat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164" fontId="7" fillId="0" borderId="0" xfId="3" applyNumberFormat="1" applyFont="1" applyFill="1" applyAlignment="1"/>
    <xf numFmtId="0" fontId="9" fillId="0" borderId="0" xfId="1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 applyAlignment="1">
      <alignment wrapText="1"/>
    </xf>
    <xf numFmtId="49" fontId="7" fillId="0" borderId="0" xfId="4" applyNumberFormat="1" applyFont="1" applyFill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left"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center"/>
    </xf>
    <xf numFmtId="1" fontId="7" fillId="0" borderId="0" xfId="4" applyNumberFormat="1" applyFont="1" applyFill="1" applyBorder="1" applyAlignment="1">
      <alignment wrapText="1"/>
    </xf>
    <xf numFmtId="49" fontId="7" fillId="0" borderId="0" xfId="4" applyNumberFormat="1" applyFont="1" applyFill="1" applyBorder="1" applyAlignment="1">
      <alignment horizontal="center"/>
    </xf>
    <xf numFmtId="164" fontId="7" fillId="0" borderId="0" xfId="1" applyNumberFormat="1" applyFont="1" applyFill="1"/>
    <xf numFmtId="0" fontId="7" fillId="0" borderId="0" xfId="4" applyFont="1" applyFill="1" applyAlignment="1">
      <alignment wrapText="1"/>
    </xf>
    <xf numFmtId="0" fontId="7" fillId="0" borderId="0" xfId="4" applyFont="1" applyFill="1" applyAlignment="1">
      <alignment horizontal="center"/>
    </xf>
    <xf numFmtId="0" fontId="5" fillId="0" borderId="0" xfId="2" applyFont="1" applyFill="1" applyBorder="1" applyAlignment="1">
      <alignment wrapText="1"/>
    </xf>
    <xf numFmtId="49" fontId="7" fillId="0" borderId="0" xfId="6" applyNumberFormat="1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wrapText="1"/>
    </xf>
    <xf numFmtId="49" fontId="5" fillId="0" borderId="0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2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wrapText="1"/>
    </xf>
    <xf numFmtId="0" fontId="7" fillId="0" borderId="0" xfId="4" applyNumberFormat="1" applyFont="1" applyFill="1" applyAlignment="1">
      <alignment wrapText="1"/>
    </xf>
    <xf numFmtId="0" fontId="7" fillId="0" borderId="0" xfId="1" applyFont="1" applyFill="1" applyAlignment="1">
      <alignment horizontal="left" wrapText="1"/>
    </xf>
    <xf numFmtId="0" fontId="7" fillId="0" borderId="0" xfId="3" applyFont="1" applyFill="1" applyAlignment="1">
      <alignment horizontal="left" wrapText="1"/>
    </xf>
    <xf numFmtId="49" fontId="7" fillId="0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4" applyFont="1" applyFill="1" applyBorder="1" applyAlignment="1">
      <alignment wrapText="1"/>
    </xf>
    <xf numFmtId="0" fontId="11" fillId="0" borderId="0" xfId="0" applyFont="1" applyFill="1" applyAlignment="1">
      <alignment horizontal="justify"/>
    </xf>
    <xf numFmtId="0" fontId="7" fillId="0" borderId="0" xfId="4" applyFont="1" applyFill="1" applyBorder="1" applyAlignment="1">
      <alignment horizontal="left" wrapText="1"/>
    </xf>
    <xf numFmtId="1" fontId="7" fillId="0" borderId="0" xfId="2" applyNumberFormat="1" applyFont="1" applyFill="1" applyBorder="1" applyAlignment="1">
      <alignment horizontal="left" wrapText="1"/>
    </xf>
    <xf numFmtId="0" fontId="7" fillId="0" borderId="0" xfId="3" applyFont="1" applyFill="1" applyAlignment="1">
      <alignment wrapText="1"/>
    </xf>
    <xf numFmtId="0" fontId="7" fillId="0" borderId="0" xfId="1" applyFont="1" applyFill="1" applyAlignment="1">
      <alignment wrapText="1"/>
    </xf>
    <xf numFmtId="0" fontId="7" fillId="0" borderId="0" xfId="1" applyNumberFormat="1" applyFont="1" applyFill="1" applyAlignment="1">
      <alignment wrapText="1"/>
    </xf>
    <xf numFmtId="164" fontId="9" fillId="0" borderId="0" xfId="1" applyNumberFormat="1" applyFont="1" applyFill="1"/>
    <xf numFmtId="0" fontId="7" fillId="0" borderId="0" xfId="0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horizontal="center" wrapText="1"/>
    </xf>
    <xf numFmtId="1" fontId="7" fillId="0" borderId="0" xfId="2" applyNumberFormat="1" applyFont="1" applyFill="1" applyBorder="1" applyAlignment="1">
      <alignment horizontal="left" vertical="top" wrapText="1"/>
    </xf>
    <xf numFmtId="4" fontId="7" fillId="0" borderId="0" xfId="7" applyNumberFormat="1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49" fontId="7" fillId="0" borderId="0" xfId="7" applyNumberFormat="1" applyFont="1" applyFill="1" applyBorder="1" applyAlignment="1">
      <alignment horizontal="center"/>
    </xf>
    <xf numFmtId="0" fontId="7" fillId="0" borderId="0" xfId="7" applyFont="1" applyFill="1" applyBorder="1" applyAlignment="1">
      <alignment wrapText="1"/>
    </xf>
    <xf numFmtId="1" fontId="7" fillId="0" borderId="0" xfId="7" applyNumberFormat="1" applyFont="1" applyFill="1" applyBorder="1" applyAlignment="1">
      <alignment wrapText="1"/>
    </xf>
    <xf numFmtId="0" fontId="7" fillId="0" borderId="0" xfId="2" applyFont="1" applyFill="1" applyAlignment="1">
      <alignment horizontal="left" wrapText="1"/>
    </xf>
    <xf numFmtId="0" fontId="12" fillId="0" borderId="0" xfId="4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4" applyNumberFormat="1" applyFont="1" applyFill="1" applyBorder="1" applyAlignment="1">
      <alignment wrapText="1"/>
    </xf>
    <xf numFmtId="2" fontId="7" fillId="0" borderId="0" xfId="4" applyNumberFormat="1" applyFont="1" applyFill="1" applyBorder="1" applyAlignment="1">
      <alignment wrapText="1"/>
    </xf>
    <xf numFmtId="0" fontId="5" fillId="0" borderId="0" xfId="4" applyFont="1" applyFill="1" applyBorder="1" applyAlignment="1">
      <alignment horizontal="center"/>
    </xf>
    <xf numFmtId="49" fontId="7" fillId="0" borderId="0" xfId="4" applyNumberFormat="1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center" wrapText="1"/>
    </xf>
    <xf numFmtId="0" fontId="7" fillId="0" borderId="0" xfId="2" applyNumberFormat="1" applyFont="1" applyFill="1" applyAlignment="1">
      <alignment wrapText="1"/>
    </xf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horizontal="justify" wrapText="1"/>
    </xf>
    <xf numFmtId="49" fontId="7" fillId="0" borderId="0" xfId="0" applyNumberFormat="1" applyFont="1" applyFill="1" applyAlignment="1">
      <alignment horizontal="center"/>
    </xf>
    <xf numFmtId="0" fontId="7" fillId="0" borderId="0" xfId="2" applyNumberFormat="1" applyFont="1" applyFill="1" applyBorder="1" applyAlignment="1">
      <alignment wrapText="1"/>
    </xf>
    <xf numFmtId="164" fontId="7" fillId="0" borderId="0" xfId="0" applyNumberFormat="1" applyFont="1" applyFill="1"/>
    <xf numFmtId="0" fontId="5" fillId="0" borderId="0" xfId="4" applyFont="1" applyFill="1" applyBorder="1" applyAlignment="1">
      <alignment wrapText="1"/>
    </xf>
    <xf numFmtId="164" fontId="7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49" fontId="5" fillId="0" borderId="0" xfId="2" applyNumberFormat="1" applyFont="1" applyFill="1" applyBorder="1" applyAlignment="1">
      <alignment horizontal="justify"/>
    </xf>
    <xf numFmtId="0" fontId="7" fillId="0" borderId="0" xfId="3" applyFont="1" applyFill="1" applyAlignment="1">
      <alignment horizontal="justify" wrapText="1"/>
    </xf>
    <xf numFmtId="1" fontId="5" fillId="0" borderId="0" xfId="2" applyNumberFormat="1" applyFont="1" applyFill="1" applyBorder="1" applyAlignment="1">
      <alignment horizontal="left" wrapText="1"/>
    </xf>
    <xf numFmtId="164" fontId="7" fillId="0" borderId="0" xfId="3" applyNumberFormat="1" applyFont="1" applyFill="1" applyBorder="1" applyAlignment="1"/>
    <xf numFmtId="1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/>
    <xf numFmtId="164" fontId="5" fillId="0" borderId="0" xfId="1" applyNumberFormat="1" applyFont="1" applyFill="1" applyAlignment="1"/>
    <xf numFmtId="1" fontId="7" fillId="0" borderId="0" xfId="7" applyNumberFormat="1" applyFont="1" applyFill="1" applyBorder="1" applyAlignment="1">
      <alignment horizontal="left" wrapText="1"/>
    </xf>
    <xf numFmtId="164" fontId="7" fillId="0" borderId="0" xfId="1" applyNumberFormat="1" applyFont="1" applyFill="1" applyBorder="1" applyAlignment="1"/>
    <xf numFmtId="164" fontId="7" fillId="0" borderId="0" xfId="1" applyNumberFormat="1" applyFont="1" applyFill="1" applyAlignment="1"/>
    <xf numFmtId="0" fontId="7" fillId="0" borderId="0" xfId="2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1" applyNumberFormat="1" applyFont="1" applyFill="1" applyBorder="1" applyAlignment="1">
      <alignment horizontal="center" wrapText="1"/>
    </xf>
    <xf numFmtId="1" fontId="13" fillId="0" borderId="0" xfId="2" applyNumberFormat="1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1" applyFont="1" applyFill="1" applyBorder="1" applyAlignment="1">
      <alignment wrapText="1"/>
    </xf>
    <xf numFmtId="164" fontId="7" fillId="0" borderId="0" xfId="0" applyNumberFormat="1" applyFont="1" applyFill="1" applyAlignment="1"/>
    <xf numFmtId="49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2" applyNumberFormat="1" applyFont="1" applyFill="1" applyAlignment="1">
      <alignment horizontal="right"/>
    </xf>
    <xf numFmtId="1" fontId="7" fillId="0" borderId="0" xfId="2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1" fontId="14" fillId="0" borderId="0" xfId="2" applyNumberFormat="1" applyFont="1" applyFill="1" applyBorder="1" applyAlignment="1">
      <alignment horizontal="left" wrapText="1"/>
    </xf>
    <xf numFmtId="0" fontId="14" fillId="0" borderId="0" xfId="2" applyFont="1" applyFill="1" applyAlignment="1">
      <alignment horizontal="left" wrapText="1"/>
    </xf>
    <xf numFmtId="1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/>
    </xf>
    <xf numFmtId="1" fontId="5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center" wrapText="1"/>
    </xf>
    <xf numFmtId="0" fontId="7" fillId="0" borderId="0" xfId="1" applyFont="1" applyFill="1" applyBorder="1" applyAlignment="1">
      <alignment horizontal="justify" vertical="top" wrapText="1"/>
    </xf>
    <xf numFmtId="1" fontId="7" fillId="0" borderId="0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2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1" fontId="5" fillId="0" borderId="0" xfId="2" applyNumberFormat="1" applyFont="1" applyFill="1" applyBorder="1" applyAlignment="1">
      <alignment horizontal="center" wrapText="1"/>
    </xf>
    <xf numFmtId="164" fontId="15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1" fontId="7" fillId="0" borderId="3" xfId="2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164" fontId="7" fillId="0" borderId="0" xfId="3" applyNumberFormat="1" applyFont="1" applyFill="1" applyAlignment="1">
      <alignment horizontal="right"/>
    </xf>
    <xf numFmtId="49" fontId="3" fillId="0" borderId="0" xfId="4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49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Alignment="1"/>
    <xf numFmtId="164" fontId="13" fillId="0" borderId="0" xfId="0" applyNumberFormat="1" applyFont="1" applyFill="1"/>
    <xf numFmtId="164" fontId="5" fillId="0" borderId="0" xfId="0" applyNumberFormat="1" applyFont="1" applyFill="1"/>
    <xf numFmtId="49" fontId="13" fillId="0" borderId="0" xfId="2" applyNumberFormat="1" applyFont="1" applyFill="1" applyAlignment="1">
      <alignment horizontal="center"/>
    </xf>
    <xf numFmtId="165" fontId="16" fillId="0" borderId="0" xfId="1" applyNumberFormat="1" applyFont="1" applyFill="1"/>
    <xf numFmtId="16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1" applyNumberFormat="1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49" fontId="5" fillId="0" borderId="0" xfId="4" applyNumberFormat="1" applyFont="1" applyFill="1" applyAlignment="1">
      <alignment horizontal="center"/>
    </xf>
    <xf numFmtId="49" fontId="15" fillId="0" borderId="0" xfId="2" applyNumberFormat="1" applyFont="1" applyFill="1" applyBorder="1" applyAlignment="1">
      <alignment horizontal="center"/>
    </xf>
    <xf numFmtId="0" fontId="7" fillId="0" borderId="0" xfId="4" applyFont="1" applyFill="1" applyAlignment="1">
      <alignment vertical="top" wrapText="1"/>
    </xf>
    <xf numFmtId="0" fontId="11" fillId="0" borderId="0" xfId="0" applyFont="1" applyFill="1" applyBorder="1" applyAlignment="1">
      <alignment horizontal="justify"/>
    </xf>
    <xf numFmtId="1" fontId="7" fillId="0" borderId="0" xfId="2" applyNumberFormat="1" applyFont="1" applyFill="1" applyBorder="1" applyAlignment="1">
      <alignment vertical="top" wrapText="1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7"/>
    <cellStyle name="Обычный 3" xfId="2"/>
    <cellStyle name="Обычный 3 2" xfId="5"/>
    <cellStyle name="Обычный 4" xfId="1"/>
    <cellStyle name="Обычный 5" xfId="4"/>
    <cellStyle name="Обычный 6" xfId="3"/>
    <cellStyle name="Обычный_ноябрь 2003" xfId="6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33"/>
  <sheetViews>
    <sheetView tabSelected="1" topLeftCell="A678" zoomScale="80" zoomScaleNormal="80" workbookViewId="0">
      <selection activeCell="I326" sqref="I326"/>
    </sheetView>
  </sheetViews>
  <sheetFormatPr defaultColWidth="9.140625" defaultRowHeight="15" x14ac:dyDescent="0.25"/>
  <cols>
    <col min="1" max="1" width="69.28515625" style="141" customWidth="1"/>
    <col min="2" max="2" width="7.28515625" style="18" customWidth="1"/>
    <col min="3" max="3" width="14.7109375" style="142" customWidth="1"/>
    <col min="4" max="4" width="6.140625" style="143" customWidth="1"/>
    <col min="5" max="5" width="12.5703125" style="18" customWidth="1"/>
    <col min="6" max="6" width="13" style="18" customWidth="1"/>
    <col min="7" max="7" width="12.28515625" style="18" customWidth="1"/>
    <col min="8" max="8" width="9.140625" style="18"/>
    <col min="9" max="9" width="15.5703125" style="18" customWidth="1"/>
    <col min="10" max="16384" width="9.140625" style="18"/>
  </cols>
  <sheetData>
    <row r="1" spans="1:7" s="3" customFormat="1" ht="12.75" x14ac:dyDescent="0.2">
      <c r="A1" s="1"/>
      <c r="B1" s="2"/>
      <c r="C1" s="168" t="s">
        <v>660</v>
      </c>
      <c r="D1" s="168"/>
      <c r="E1" s="168"/>
      <c r="F1" s="168"/>
      <c r="G1" s="168"/>
    </row>
    <row r="2" spans="1:7" s="3" customFormat="1" ht="12.75" x14ac:dyDescent="0.2">
      <c r="A2" s="1"/>
      <c r="B2" s="2"/>
      <c r="C2" s="168" t="s">
        <v>0</v>
      </c>
      <c r="D2" s="168"/>
      <c r="E2" s="168"/>
      <c r="F2" s="168"/>
      <c r="G2" s="168"/>
    </row>
    <row r="3" spans="1:7" s="3" customFormat="1" ht="12.75" x14ac:dyDescent="0.2">
      <c r="A3" s="1"/>
      <c r="B3" s="2"/>
      <c r="C3" s="168" t="s">
        <v>1</v>
      </c>
      <c r="D3" s="168"/>
      <c r="E3" s="168"/>
      <c r="F3" s="168"/>
      <c r="G3" s="168"/>
    </row>
    <row r="4" spans="1:7" x14ac:dyDescent="0.25">
      <c r="F4" s="170" t="s">
        <v>668</v>
      </c>
      <c r="G4" s="170"/>
    </row>
    <row r="5" spans="1:7" s="3" customFormat="1" ht="12.75" customHeight="1" x14ac:dyDescent="0.2">
      <c r="A5" s="1"/>
      <c r="B5" s="2"/>
      <c r="C5" s="168" t="s">
        <v>582</v>
      </c>
      <c r="D5" s="168"/>
      <c r="E5" s="168"/>
      <c r="F5" s="168"/>
      <c r="G5" s="168"/>
    </row>
    <row r="6" spans="1:7" s="3" customFormat="1" ht="12.75" customHeight="1" x14ac:dyDescent="0.2">
      <c r="A6" s="1"/>
      <c r="B6" s="2"/>
      <c r="C6" s="168" t="s">
        <v>0</v>
      </c>
      <c r="D6" s="168"/>
      <c r="E6" s="168"/>
      <c r="F6" s="168"/>
      <c r="G6" s="168"/>
    </row>
    <row r="7" spans="1:7" s="3" customFormat="1" ht="12.75" x14ac:dyDescent="0.2">
      <c r="A7" s="1"/>
      <c r="B7" s="2"/>
      <c r="C7" s="168" t="s">
        <v>1</v>
      </c>
      <c r="D7" s="168"/>
      <c r="E7" s="168"/>
      <c r="F7" s="168"/>
      <c r="G7" s="168"/>
    </row>
    <row r="8" spans="1:7" s="3" customFormat="1" ht="12.75" x14ac:dyDescent="0.2">
      <c r="A8" s="1"/>
      <c r="B8" s="2"/>
      <c r="C8" s="168"/>
      <c r="D8" s="168"/>
      <c r="E8" s="168"/>
      <c r="F8" s="170" t="s">
        <v>580</v>
      </c>
      <c r="G8" s="170"/>
    </row>
    <row r="9" spans="1:7" s="3" customFormat="1" ht="12.75" x14ac:dyDescent="0.2">
      <c r="A9" s="1"/>
      <c r="B9" s="2"/>
      <c r="C9" s="169"/>
      <c r="D9" s="169"/>
      <c r="E9" s="169"/>
      <c r="F9" s="4"/>
      <c r="G9" s="5"/>
    </row>
    <row r="10" spans="1:7" s="3" customFormat="1" ht="50.25" customHeight="1" x14ac:dyDescent="0.2">
      <c r="A10" s="171" t="s">
        <v>2</v>
      </c>
      <c r="B10" s="171"/>
      <c r="C10" s="171"/>
      <c r="D10" s="171"/>
      <c r="E10" s="171"/>
      <c r="F10" s="171"/>
      <c r="G10" s="171"/>
    </row>
    <row r="11" spans="1:7" s="3" customFormat="1" ht="12.75" x14ac:dyDescent="0.2">
      <c r="A11" s="1"/>
      <c r="B11" s="2"/>
      <c r="G11" s="6" t="s">
        <v>3</v>
      </c>
    </row>
    <row r="12" spans="1:7" s="3" customFormat="1" ht="21.75" customHeight="1" x14ac:dyDescent="0.2">
      <c r="A12" s="172" t="s">
        <v>4</v>
      </c>
      <c r="B12" s="173" t="s">
        <v>5</v>
      </c>
      <c r="C12" s="173" t="s">
        <v>6</v>
      </c>
      <c r="D12" s="174" t="s">
        <v>7</v>
      </c>
      <c r="E12" s="175" t="s">
        <v>8</v>
      </c>
      <c r="F12" s="176" t="s">
        <v>9</v>
      </c>
      <c r="G12" s="176"/>
    </row>
    <row r="13" spans="1:7" s="7" customFormat="1" ht="21" customHeight="1" x14ac:dyDescent="0.25">
      <c r="A13" s="172"/>
      <c r="B13" s="173"/>
      <c r="C13" s="173"/>
      <c r="D13" s="174"/>
      <c r="E13" s="175"/>
      <c r="F13" s="159" t="s">
        <v>10</v>
      </c>
      <c r="G13" s="159" t="s">
        <v>11</v>
      </c>
    </row>
    <row r="14" spans="1:7" s="7" customFormat="1" x14ac:dyDescent="0.25">
      <c r="A14" s="8" t="s">
        <v>12</v>
      </c>
      <c r="B14" s="9" t="s">
        <v>13</v>
      </c>
      <c r="C14" s="10"/>
      <c r="D14" s="11"/>
      <c r="E14" s="12">
        <f>E15+E19+E33+E50+E55+E66+E70+E62</f>
        <v>680857.7</v>
      </c>
      <c r="F14" s="12">
        <f t="shared" ref="F14:G14" si="0">F15+F19+F33+F50+F55+F66+F70+F62</f>
        <v>672749.7</v>
      </c>
      <c r="G14" s="12">
        <f t="shared" si="0"/>
        <v>674079.6</v>
      </c>
    </row>
    <row r="15" spans="1:7" s="7" customFormat="1" ht="29.25" x14ac:dyDescent="0.25">
      <c r="A15" s="8" t="s">
        <v>14</v>
      </c>
      <c r="B15" s="9" t="s">
        <v>15</v>
      </c>
      <c r="C15" s="10"/>
      <c r="D15" s="11"/>
      <c r="E15" s="12">
        <f>SUM(E16)</f>
        <v>3078.8999999999996</v>
      </c>
      <c r="F15" s="12">
        <f t="shared" ref="F15:G17" si="1">SUM(F16)</f>
        <v>3078.9</v>
      </c>
      <c r="G15" s="12">
        <f t="shared" si="1"/>
        <v>3078.9</v>
      </c>
    </row>
    <row r="16" spans="1:7" s="7" customFormat="1" x14ac:dyDescent="0.25">
      <c r="A16" s="13" t="s">
        <v>16</v>
      </c>
      <c r="B16" s="14" t="s">
        <v>15</v>
      </c>
      <c r="C16" s="15" t="s">
        <v>17</v>
      </c>
      <c r="D16" s="16"/>
      <c r="E16" s="17">
        <f>SUM(E17)</f>
        <v>3078.8999999999996</v>
      </c>
      <c r="F16" s="17">
        <f t="shared" si="1"/>
        <v>3078.9</v>
      </c>
      <c r="G16" s="17">
        <f t="shared" si="1"/>
        <v>3078.9</v>
      </c>
    </row>
    <row r="17" spans="1:7" s="7" customFormat="1" x14ac:dyDescent="0.25">
      <c r="A17" s="13" t="s">
        <v>18</v>
      </c>
      <c r="B17" s="14" t="s">
        <v>15</v>
      </c>
      <c r="C17" s="15" t="s">
        <v>19</v>
      </c>
      <c r="D17" s="16"/>
      <c r="E17" s="17">
        <f>SUM(E18)</f>
        <v>3078.8999999999996</v>
      </c>
      <c r="F17" s="17">
        <f t="shared" si="1"/>
        <v>3078.9</v>
      </c>
      <c r="G17" s="17">
        <f t="shared" si="1"/>
        <v>3078.9</v>
      </c>
    </row>
    <row r="18" spans="1:7" s="7" customFormat="1" ht="60" x14ac:dyDescent="0.25">
      <c r="A18" s="13" t="s">
        <v>20</v>
      </c>
      <c r="B18" s="14" t="s">
        <v>15</v>
      </c>
      <c r="C18" s="15" t="s">
        <v>19</v>
      </c>
      <c r="D18" s="16">
        <v>100</v>
      </c>
      <c r="E18" s="17">
        <f>3109.7-30.8</f>
        <v>3078.8999999999996</v>
      </c>
      <c r="F18" s="17">
        <f>3202-123.1</f>
        <v>3078.9</v>
      </c>
      <c r="G18" s="17">
        <f>3202-123.1</f>
        <v>3078.9</v>
      </c>
    </row>
    <row r="19" spans="1:7" s="7" customFormat="1" ht="43.5" x14ac:dyDescent="0.25">
      <c r="A19" s="8" t="s">
        <v>21</v>
      </c>
      <c r="B19" s="9" t="s">
        <v>22</v>
      </c>
      <c r="C19" s="10"/>
      <c r="D19" s="11"/>
      <c r="E19" s="12">
        <f>SUM(E20)</f>
        <v>42901.3</v>
      </c>
      <c r="F19" s="12">
        <f t="shared" ref="F19:G19" si="2">SUM(F20)</f>
        <v>42174.3</v>
      </c>
      <c r="G19" s="12">
        <f t="shared" si="2"/>
        <v>42174.3</v>
      </c>
    </row>
    <row r="20" spans="1:7" x14ac:dyDescent="0.25">
      <c r="A20" s="13" t="s">
        <v>16</v>
      </c>
      <c r="B20" s="14" t="s">
        <v>22</v>
      </c>
      <c r="C20" s="15" t="s">
        <v>17</v>
      </c>
      <c r="D20" s="16"/>
      <c r="E20" s="17">
        <f>SUM(E21+E23+E25+E27+E31)</f>
        <v>42901.3</v>
      </c>
      <c r="F20" s="17">
        <f>SUM(F21+F23+F25+F27+F31)</f>
        <v>42174.3</v>
      </c>
      <c r="G20" s="17">
        <f>SUM(G21+G23+G25+G27+G31)</f>
        <v>42174.3</v>
      </c>
    </row>
    <row r="21" spans="1:7" x14ac:dyDescent="0.25">
      <c r="A21" s="13" t="s">
        <v>23</v>
      </c>
      <c r="B21" s="14" t="s">
        <v>22</v>
      </c>
      <c r="C21" s="15" t="s">
        <v>24</v>
      </c>
      <c r="D21" s="16"/>
      <c r="E21" s="17">
        <f>SUM(E22)</f>
        <v>3078.7999999999997</v>
      </c>
      <c r="F21" s="17">
        <f t="shared" ref="F21:G21" si="3">SUM(F22)</f>
        <v>3078.7000000000003</v>
      </c>
      <c r="G21" s="17">
        <f t="shared" si="3"/>
        <v>3078.7000000000003</v>
      </c>
    </row>
    <row r="22" spans="1:7" s="7" customFormat="1" ht="60" x14ac:dyDescent="0.25">
      <c r="A22" s="13" t="s">
        <v>20</v>
      </c>
      <c r="B22" s="14" t="s">
        <v>22</v>
      </c>
      <c r="C22" s="15" t="s">
        <v>24</v>
      </c>
      <c r="D22" s="16">
        <v>100</v>
      </c>
      <c r="E22" s="17">
        <f>3109.6-30.8</f>
        <v>3078.7999999999997</v>
      </c>
      <c r="F22" s="17">
        <f>3201.9-123.2</f>
        <v>3078.7000000000003</v>
      </c>
      <c r="G22" s="17">
        <f>3201.9-123.2</f>
        <v>3078.7000000000003</v>
      </c>
    </row>
    <row r="23" spans="1:7" s="7" customFormat="1" ht="30" x14ac:dyDescent="0.25">
      <c r="A23" s="13" t="s">
        <v>25</v>
      </c>
      <c r="B23" s="14" t="s">
        <v>22</v>
      </c>
      <c r="C23" s="15" t="s">
        <v>26</v>
      </c>
      <c r="D23" s="16"/>
      <c r="E23" s="17">
        <f>SUM(E24:E24)</f>
        <v>2818.9</v>
      </c>
      <c r="F23" s="17">
        <f>SUM(F24:F24)</f>
        <v>2818.9</v>
      </c>
      <c r="G23" s="17">
        <f>SUM(G24:G24)</f>
        <v>2818.9</v>
      </c>
    </row>
    <row r="24" spans="1:7" s="7" customFormat="1" ht="61.5" customHeight="1" x14ac:dyDescent="0.25">
      <c r="A24" s="13" t="s">
        <v>20</v>
      </c>
      <c r="B24" s="14" t="s">
        <v>22</v>
      </c>
      <c r="C24" s="15" t="s">
        <v>26</v>
      </c>
      <c r="D24" s="16">
        <v>100</v>
      </c>
      <c r="E24" s="17">
        <f>2847.1-28.2</f>
        <v>2818.9</v>
      </c>
      <c r="F24" s="17">
        <f>2931.6-112.7</f>
        <v>2818.9</v>
      </c>
      <c r="G24" s="17">
        <f>2931.6-112.7</f>
        <v>2818.9</v>
      </c>
    </row>
    <row r="25" spans="1:7" s="7" customFormat="1" x14ac:dyDescent="0.25">
      <c r="A25" s="13" t="s">
        <v>27</v>
      </c>
      <c r="B25" s="14" t="s">
        <v>22</v>
      </c>
      <c r="C25" s="15" t="s">
        <v>28</v>
      </c>
      <c r="D25" s="16"/>
      <c r="E25" s="17">
        <f>SUM(E26)</f>
        <v>2620.8000000000002</v>
      </c>
      <c r="F25" s="17">
        <f t="shared" ref="F25:G25" si="4">SUM(F26)</f>
        <v>2620.8000000000002</v>
      </c>
      <c r="G25" s="17">
        <f t="shared" si="4"/>
        <v>2620.8000000000002</v>
      </c>
    </row>
    <row r="26" spans="1:7" s="7" customFormat="1" ht="60" x14ac:dyDescent="0.25">
      <c r="A26" s="13" t="s">
        <v>20</v>
      </c>
      <c r="B26" s="14" t="s">
        <v>22</v>
      </c>
      <c r="C26" s="15" t="s">
        <v>28</v>
      </c>
      <c r="D26" s="16">
        <v>100</v>
      </c>
      <c r="E26" s="17">
        <f>2647-26.2-254.9+254.9</f>
        <v>2620.8000000000002</v>
      </c>
      <c r="F26" s="17">
        <f>2725.5-104.7</f>
        <v>2620.8000000000002</v>
      </c>
      <c r="G26" s="17">
        <f>2725.5-104.7</f>
        <v>2620.8000000000002</v>
      </c>
    </row>
    <row r="27" spans="1:7" s="7" customFormat="1" x14ac:dyDescent="0.25">
      <c r="A27" s="19" t="s">
        <v>29</v>
      </c>
      <c r="B27" s="14" t="s">
        <v>22</v>
      </c>
      <c r="C27" s="15" t="s">
        <v>30</v>
      </c>
      <c r="D27" s="16"/>
      <c r="E27" s="17">
        <f>SUM(E28:E30)</f>
        <v>20953.599999999999</v>
      </c>
      <c r="F27" s="17">
        <f t="shared" ref="F27:G27" si="5">SUM(F28:F30)</f>
        <v>20226.700000000004</v>
      </c>
      <c r="G27" s="17">
        <f t="shared" si="5"/>
        <v>20226.700000000004</v>
      </c>
    </row>
    <row r="28" spans="1:7" s="7" customFormat="1" ht="60" x14ac:dyDescent="0.25">
      <c r="A28" s="13" t="s">
        <v>20</v>
      </c>
      <c r="B28" s="14" t="s">
        <v>22</v>
      </c>
      <c r="C28" s="15" t="s">
        <v>30</v>
      </c>
      <c r="D28" s="16">
        <v>100</v>
      </c>
      <c r="E28" s="17">
        <f>18122.8-178.5</f>
        <v>17944.3</v>
      </c>
      <c r="F28" s="17">
        <f>18658.4-714.1</f>
        <v>17944.300000000003</v>
      </c>
      <c r="G28" s="17">
        <f>18658.4-714.1</f>
        <v>17944.300000000003</v>
      </c>
    </row>
    <row r="29" spans="1:7" s="7" customFormat="1" ht="30" x14ac:dyDescent="0.25">
      <c r="A29" s="13" t="s">
        <v>31</v>
      </c>
      <c r="B29" s="14" t="s">
        <v>22</v>
      </c>
      <c r="C29" s="15" t="s">
        <v>30</v>
      </c>
      <c r="D29" s="16">
        <v>200</v>
      </c>
      <c r="E29" s="17">
        <v>1651.8</v>
      </c>
      <c r="F29" s="17">
        <v>2282.4</v>
      </c>
      <c r="G29" s="17">
        <v>2282.4</v>
      </c>
    </row>
    <row r="30" spans="1:7" s="7" customFormat="1" x14ac:dyDescent="0.25">
      <c r="A30" s="13" t="s">
        <v>38</v>
      </c>
      <c r="B30" s="15" t="s">
        <v>22</v>
      </c>
      <c r="C30" s="15" t="s">
        <v>30</v>
      </c>
      <c r="D30" s="23">
        <v>300</v>
      </c>
      <c r="E30" s="17">
        <f>254.9+1102.6</f>
        <v>1357.5</v>
      </c>
      <c r="F30" s="17"/>
      <c r="G30" s="17"/>
    </row>
    <row r="31" spans="1:7" s="7" customFormat="1" x14ac:dyDescent="0.25">
      <c r="A31" s="13" t="s">
        <v>32</v>
      </c>
      <c r="B31" s="14" t="s">
        <v>22</v>
      </c>
      <c r="C31" s="15" t="s">
        <v>33</v>
      </c>
      <c r="D31" s="16"/>
      <c r="E31" s="17">
        <f>SUM(E32)</f>
        <v>13429.2</v>
      </c>
      <c r="F31" s="17">
        <f t="shared" ref="F31:G31" si="6">SUM(F32)</f>
        <v>13429.199999999999</v>
      </c>
      <c r="G31" s="17">
        <f t="shared" si="6"/>
        <v>13429.199999999999</v>
      </c>
    </row>
    <row r="32" spans="1:7" s="7" customFormat="1" ht="60" x14ac:dyDescent="0.25">
      <c r="A32" s="13" t="s">
        <v>20</v>
      </c>
      <c r="B32" s="14" t="s">
        <v>22</v>
      </c>
      <c r="C32" s="15" t="s">
        <v>33</v>
      </c>
      <c r="D32" s="16">
        <v>100</v>
      </c>
      <c r="E32" s="17">
        <f>13563.5-134.3</f>
        <v>13429.2</v>
      </c>
      <c r="F32" s="17">
        <f>13966.4-537.2</f>
        <v>13429.199999999999</v>
      </c>
      <c r="G32" s="17">
        <f>13966.4-537.2</f>
        <v>13429.199999999999</v>
      </c>
    </row>
    <row r="33" spans="1:7" s="7" customFormat="1" ht="43.5" x14ac:dyDescent="0.25">
      <c r="A33" s="8" t="s">
        <v>34</v>
      </c>
      <c r="B33" s="9" t="s">
        <v>35</v>
      </c>
      <c r="C33" s="10"/>
      <c r="D33" s="11"/>
      <c r="E33" s="12">
        <f>SUM(E34)</f>
        <v>271355.59999999998</v>
      </c>
      <c r="F33" s="12">
        <f t="shared" ref="F33:G33" si="7">SUM(F34)</f>
        <v>283877.7</v>
      </c>
      <c r="G33" s="12">
        <f t="shared" si="7"/>
        <v>283878</v>
      </c>
    </row>
    <row r="34" spans="1:7" s="7" customFormat="1" x14ac:dyDescent="0.25">
      <c r="A34" s="13" t="s">
        <v>16</v>
      </c>
      <c r="B34" s="14" t="s">
        <v>35</v>
      </c>
      <c r="C34" s="15" t="s">
        <v>17</v>
      </c>
      <c r="D34" s="16"/>
      <c r="E34" s="17">
        <f>SUM(E35)+E40</f>
        <v>271355.59999999998</v>
      </c>
      <c r="F34" s="17">
        <f t="shared" ref="F34:G34" si="8">SUM(F35)+F40</f>
        <v>283877.7</v>
      </c>
      <c r="G34" s="17">
        <f t="shared" si="8"/>
        <v>283878</v>
      </c>
    </row>
    <row r="35" spans="1:7" s="7" customFormat="1" ht="30" x14ac:dyDescent="0.25">
      <c r="A35" s="20" t="s">
        <v>36</v>
      </c>
      <c r="B35" s="14" t="s">
        <v>35</v>
      </c>
      <c r="C35" s="15" t="s">
        <v>37</v>
      </c>
      <c r="D35" s="16"/>
      <c r="E35" s="17">
        <f>SUM(E36:E39)</f>
        <v>262660.89999999997</v>
      </c>
      <c r="F35" s="17">
        <f t="shared" ref="F35:G35" si="9">SUM(F36:F39)</f>
        <v>275183</v>
      </c>
      <c r="G35" s="17">
        <f t="shared" si="9"/>
        <v>275183.3</v>
      </c>
    </row>
    <row r="36" spans="1:7" s="7" customFormat="1" ht="60" x14ac:dyDescent="0.25">
      <c r="A36" s="13" t="s">
        <v>20</v>
      </c>
      <c r="B36" s="14" t="s">
        <v>35</v>
      </c>
      <c r="C36" s="15" t="s">
        <v>37</v>
      </c>
      <c r="D36" s="16">
        <v>100</v>
      </c>
      <c r="E36" s="17">
        <f>231749.4-2274.2</f>
        <v>229475.19999999998</v>
      </c>
      <c r="F36" s="17">
        <f>238572-9096.8</f>
        <v>229475.20000000001</v>
      </c>
      <c r="G36" s="17">
        <f>238572-9096.8</f>
        <v>229475.20000000001</v>
      </c>
    </row>
    <row r="37" spans="1:7" ht="30" x14ac:dyDescent="0.25">
      <c r="A37" s="13" t="s">
        <v>31</v>
      </c>
      <c r="B37" s="14" t="s">
        <v>35</v>
      </c>
      <c r="C37" s="15" t="s">
        <v>37</v>
      </c>
      <c r="D37" s="16">
        <v>200</v>
      </c>
      <c r="E37" s="17">
        <f>24593.7+2100</f>
        <v>26693.7</v>
      </c>
      <c r="F37" s="17">
        <v>42213.7</v>
      </c>
      <c r="G37" s="17">
        <v>42214</v>
      </c>
    </row>
    <row r="38" spans="1:7" s="7" customFormat="1" x14ac:dyDescent="0.25">
      <c r="A38" s="13" t="s">
        <v>38</v>
      </c>
      <c r="B38" s="14" t="s">
        <v>35</v>
      </c>
      <c r="C38" s="15" t="s">
        <v>37</v>
      </c>
      <c r="D38" s="16">
        <v>300</v>
      </c>
      <c r="E38" s="17">
        <f>1000+2997.9</f>
        <v>3997.9</v>
      </c>
      <c r="F38" s="17">
        <v>1000</v>
      </c>
      <c r="G38" s="17">
        <v>1000</v>
      </c>
    </row>
    <row r="39" spans="1:7" x14ac:dyDescent="0.25">
      <c r="A39" s="19" t="s">
        <v>39</v>
      </c>
      <c r="B39" s="14" t="s">
        <v>35</v>
      </c>
      <c r="C39" s="15" t="s">
        <v>37</v>
      </c>
      <c r="D39" s="16">
        <v>800</v>
      </c>
      <c r="E39" s="17">
        <v>2494.1</v>
      </c>
      <c r="F39" s="17">
        <v>2494.1</v>
      </c>
      <c r="G39" s="17">
        <v>2494.1</v>
      </c>
    </row>
    <row r="40" spans="1:7" x14ac:dyDescent="0.25">
      <c r="A40" s="19" t="s">
        <v>40</v>
      </c>
      <c r="B40" s="21" t="s">
        <v>35</v>
      </c>
      <c r="C40" s="21" t="s">
        <v>41</v>
      </c>
      <c r="D40" s="14"/>
      <c r="E40" s="17">
        <f>SUM(E41+E44+E47)</f>
        <v>8694.7000000000007</v>
      </c>
      <c r="F40" s="17">
        <f t="shared" ref="F40:G40" si="10">SUM(F41+F44+F47)</f>
        <v>8694.7000000000007</v>
      </c>
      <c r="G40" s="17">
        <f t="shared" si="10"/>
        <v>8694.6999999999989</v>
      </c>
    </row>
    <row r="41" spans="1:7" ht="60" x14ac:dyDescent="0.25">
      <c r="A41" s="13" t="s">
        <v>573</v>
      </c>
      <c r="B41" s="14" t="s">
        <v>35</v>
      </c>
      <c r="C41" s="22" t="s">
        <v>42</v>
      </c>
      <c r="D41" s="23"/>
      <c r="E41" s="17">
        <f>SUM(E42:E43)</f>
        <v>3144.3</v>
      </c>
      <c r="F41" s="17">
        <f t="shared" ref="F41:G41" si="11">SUM(F42:F43)</f>
        <v>3144.3</v>
      </c>
      <c r="G41" s="17">
        <f t="shared" si="11"/>
        <v>3144.3</v>
      </c>
    </row>
    <row r="42" spans="1:7" ht="60" x14ac:dyDescent="0.25">
      <c r="A42" s="13" t="s">
        <v>20</v>
      </c>
      <c r="B42" s="14" t="s">
        <v>35</v>
      </c>
      <c r="C42" s="22" t="s">
        <v>42</v>
      </c>
      <c r="D42" s="23">
        <v>100</v>
      </c>
      <c r="E42" s="17">
        <f>3101.3+21.5</f>
        <v>3122.8</v>
      </c>
      <c r="F42" s="17">
        <f>3101.3+21.5</f>
        <v>3122.8</v>
      </c>
      <c r="G42" s="17">
        <f>3101.3+21.5</f>
        <v>3122.8</v>
      </c>
    </row>
    <row r="43" spans="1:7" ht="30" x14ac:dyDescent="0.25">
      <c r="A43" s="13" t="s">
        <v>31</v>
      </c>
      <c r="B43" s="15" t="s">
        <v>35</v>
      </c>
      <c r="C43" s="22" t="s">
        <v>42</v>
      </c>
      <c r="D43" s="23">
        <v>200</v>
      </c>
      <c r="E43" s="17">
        <v>21.5</v>
      </c>
      <c r="F43" s="17">
        <v>21.5</v>
      </c>
      <c r="G43" s="17">
        <v>21.5</v>
      </c>
    </row>
    <row r="44" spans="1:7" ht="75" x14ac:dyDescent="0.25">
      <c r="A44" s="13" t="s">
        <v>574</v>
      </c>
      <c r="B44" s="14" t="s">
        <v>35</v>
      </c>
      <c r="C44" s="15" t="s">
        <v>43</v>
      </c>
      <c r="D44" s="15"/>
      <c r="E44" s="17">
        <f>SUM(E45:E46)</f>
        <v>3502.1</v>
      </c>
      <c r="F44" s="17">
        <f t="shared" ref="F44:G44" si="12">SUM(F45:F46)</f>
        <v>3502.1</v>
      </c>
      <c r="G44" s="17">
        <f t="shared" si="12"/>
        <v>3502.1</v>
      </c>
    </row>
    <row r="45" spans="1:7" ht="60" x14ac:dyDescent="0.25">
      <c r="A45" s="13" t="s">
        <v>20</v>
      </c>
      <c r="B45" s="14" t="s">
        <v>35</v>
      </c>
      <c r="C45" s="15" t="s">
        <v>43</v>
      </c>
      <c r="D45" s="15" t="s">
        <v>44</v>
      </c>
      <c r="E45" s="17">
        <v>2707.4</v>
      </c>
      <c r="F45" s="17">
        <v>2707.4</v>
      </c>
      <c r="G45" s="17">
        <v>2707.4</v>
      </c>
    </row>
    <row r="46" spans="1:7" ht="30" x14ac:dyDescent="0.25">
      <c r="A46" s="13" t="s">
        <v>31</v>
      </c>
      <c r="B46" s="14" t="s">
        <v>35</v>
      </c>
      <c r="C46" s="15" t="s">
        <v>43</v>
      </c>
      <c r="D46" s="15" t="s">
        <v>45</v>
      </c>
      <c r="E46" s="17">
        <f>796.4-1.7</f>
        <v>794.69999999999993</v>
      </c>
      <c r="F46" s="17">
        <f t="shared" ref="F46:G46" si="13">796.4-1.7</f>
        <v>794.69999999999993</v>
      </c>
      <c r="G46" s="17">
        <f t="shared" si="13"/>
        <v>794.69999999999993</v>
      </c>
    </row>
    <row r="47" spans="1:7" ht="45" x14ac:dyDescent="0.25">
      <c r="A47" s="13" t="s">
        <v>575</v>
      </c>
      <c r="B47" s="14" t="s">
        <v>35</v>
      </c>
      <c r="C47" s="22" t="s">
        <v>46</v>
      </c>
      <c r="D47" s="23"/>
      <c r="E47" s="17">
        <f>SUM(E48:E49)</f>
        <v>2048.3000000000002</v>
      </c>
      <c r="F47" s="17">
        <f t="shared" ref="F47:G47" si="14">SUM(F48:F49)</f>
        <v>2048.3000000000002</v>
      </c>
      <c r="G47" s="17">
        <f t="shared" si="14"/>
        <v>2048.2999999999997</v>
      </c>
    </row>
    <row r="48" spans="1:7" ht="60" x14ac:dyDescent="0.25">
      <c r="A48" s="13" t="s">
        <v>20</v>
      </c>
      <c r="B48" s="14" t="s">
        <v>35</v>
      </c>
      <c r="C48" s="22" t="s">
        <v>46</v>
      </c>
      <c r="D48" s="23">
        <v>100</v>
      </c>
      <c r="E48" s="17">
        <f>1514.8-17.9+93.9</f>
        <v>1590.8</v>
      </c>
      <c r="F48" s="17">
        <f>1570.3-90.2+93.9</f>
        <v>1574</v>
      </c>
      <c r="G48" s="17">
        <f>1628.1-165.4+93.9</f>
        <v>1556.6</v>
      </c>
    </row>
    <row r="49" spans="1:7" ht="30" x14ac:dyDescent="0.25">
      <c r="A49" s="13" t="s">
        <v>31</v>
      </c>
      <c r="B49" s="14" t="s">
        <v>35</v>
      </c>
      <c r="C49" s="22" t="s">
        <v>46</v>
      </c>
      <c r="D49" s="23">
        <v>200</v>
      </c>
      <c r="E49" s="17">
        <v>457.5</v>
      </c>
      <c r="F49" s="17">
        <v>474.3</v>
      </c>
      <c r="G49" s="17">
        <v>491.7</v>
      </c>
    </row>
    <row r="50" spans="1:7" s="7" customFormat="1" x14ac:dyDescent="0.25">
      <c r="A50" s="24" t="s">
        <v>47</v>
      </c>
      <c r="B50" s="25" t="s">
        <v>48</v>
      </c>
      <c r="C50" s="26"/>
      <c r="D50" s="27"/>
      <c r="E50" s="12">
        <f>SUM(E51)</f>
        <v>35.4</v>
      </c>
      <c r="F50" s="12">
        <f t="shared" ref="F50:G53" si="15">SUM(F51)</f>
        <v>462.40000000000003</v>
      </c>
      <c r="G50" s="12">
        <f t="shared" si="15"/>
        <v>14.6</v>
      </c>
    </row>
    <row r="51" spans="1:7" x14ac:dyDescent="0.25">
      <c r="A51" s="13" t="s">
        <v>16</v>
      </c>
      <c r="B51" s="28" t="s">
        <v>48</v>
      </c>
      <c r="C51" s="15" t="s">
        <v>17</v>
      </c>
      <c r="D51" s="23"/>
      <c r="E51" s="17">
        <f>SUM(E52)</f>
        <v>35.4</v>
      </c>
      <c r="F51" s="17">
        <f t="shared" si="15"/>
        <v>462.40000000000003</v>
      </c>
      <c r="G51" s="17">
        <f t="shared" si="15"/>
        <v>14.6</v>
      </c>
    </row>
    <row r="52" spans="1:7" x14ac:dyDescent="0.25">
      <c r="A52" s="29" t="s">
        <v>40</v>
      </c>
      <c r="B52" s="28" t="s">
        <v>48</v>
      </c>
      <c r="C52" s="28" t="s">
        <v>41</v>
      </c>
      <c r="D52" s="23"/>
      <c r="E52" s="17">
        <f>SUM(E53)</f>
        <v>35.4</v>
      </c>
      <c r="F52" s="17">
        <f t="shared" si="15"/>
        <v>462.40000000000003</v>
      </c>
      <c r="G52" s="17">
        <f t="shared" si="15"/>
        <v>14.6</v>
      </c>
    </row>
    <row r="53" spans="1:7" ht="45" x14ac:dyDescent="0.25">
      <c r="A53" s="20" t="s">
        <v>49</v>
      </c>
      <c r="B53" s="28" t="s">
        <v>48</v>
      </c>
      <c r="C53" s="30" t="s">
        <v>50</v>
      </c>
      <c r="D53" s="23"/>
      <c r="E53" s="17">
        <f>SUM(E54)</f>
        <v>35.4</v>
      </c>
      <c r="F53" s="17">
        <f t="shared" si="15"/>
        <v>462.40000000000003</v>
      </c>
      <c r="G53" s="17">
        <f t="shared" si="15"/>
        <v>14.6</v>
      </c>
    </row>
    <row r="54" spans="1:7" ht="30" x14ac:dyDescent="0.25">
      <c r="A54" s="20" t="s">
        <v>51</v>
      </c>
      <c r="B54" s="28" t="s">
        <v>48</v>
      </c>
      <c r="C54" s="30" t="s">
        <v>50</v>
      </c>
      <c r="D54" s="23">
        <v>600</v>
      </c>
      <c r="E54" s="17">
        <f>39.5-4.1</f>
        <v>35.4</v>
      </c>
      <c r="F54" s="17">
        <f>493.1-30.7</f>
        <v>462.40000000000003</v>
      </c>
      <c r="G54" s="17">
        <v>14.6</v>
      </c>
    </row>
    <row r="55" spans="1:7" s="7" customFormat="1" ht="43.5" x14ac:dyDescent="0.25">
      <c r="A55" s="8" t="s">
        <v>52</v>
      </c>
      <c r="B55" s="9" t="s">
        <v>53</v>
      </c>
      <c r="C55" s="10"/>
      <c r="D55" s="11"/>
      <c r="E55" s="12">
        <f>SUM(E56)</f>
        <v>63440.800000000003</v>
      </c>
      <c r="F55" s="12">
        <f t="shared" ref="F55:G56" si="16">SUM(F56)</f>
        <v>62611.600000000006</v>
      </c>
      <c r="G55" s="12">
        <f t="shared" si="16"/>
        <v>62705</v>
      </c>
    </row>
    <row r="56" spans="1:7" s="7" customFormat="1" x14ac:dyDescent="0.25">
      <c r="A56" s="13" t="s">
        <v>16</v>
      </c>
      <c r="B56" s="14" t="s">
        <v>53</v>
      </c>
      <c r="C56" s="15" t="s">
        <v>17</v>
      </c>
      <c r="D56" s="16"/>
      <c r="E56" s="17">
        <f>SUM(E57)</f>
        <v>63440.800000000003</v>
      </c>
      <c r="F56" s="17">
        <f t="shared" si="16"/>
        <v>62611.600000000006</v>
      </c>
      <c r="G56" s="17">
        <f t="shared" si="16"/>
        <v>62705</v>
      </c>
    </row>
    <row r="57" spans="1:7" ht="30" x14ac:dyDescent="0.25">
      <c r="A57" s="20" t="s">
        <v>36</v>
      </c>
      <c r="B57" s="14" t="s">
        <v>53</v>
      </c>
      <c r="C57" s="15" t="s">
        <v>37</v>
      </c>
      <c r="D57" s="16"/>
      <c r="E57" s="17">
        <f>SUM(E58:E61)</f>
        <v>63440.800000000003</v>
      </c>
      <c r="F57" s="17">
        <f t="shared" ref="F57:G57" si="17">SUM(F58:F61)</f>
        <v>62611.600000000006</v>
      </c>
      <c r="G57" s="17">
        <f t="shared" si="17"/>
        <v>62705</v>
      </c>
    </row>
    <row r="58" spans="1:7" ht="60" x14ac:dyDescent="0.25">
      <c r="A58" s="13" t="s">
        <v>20</v>
      </c>
      <c r="B58" s="14" t="s">
        <v>53</v>
      </c>
      <c r="C58" s="15" t="s">
        <v>37</v>
      </c>
      <c r="D58" s="16">
        <v>100</v>
      </c>
      <c r="E58" s="17">
        <f>39981.4+18322.2-395.9-181.4-196+196</f>
        <v>57726.3</v>
      </c>
      <c r="F58" s="17">
        <f>41169+18866.5-1583.5-725.7</f>
        <v>57726.3</v>
      </c>
      <c r="G58" s="17">
        <f>41169+18866.5-1583.5-725.7</f>
        <v>57726.3</v>
      </c>
    </row>
    <row r="59" spans="1:7" ht="30" x14ac:dyDescent="0.25">
      <c r="A59" s="13" t="s">
        <v>31</v>
      </c>
      <c r="B59" s="14" t="s">
        <v>53</v>
      </c>
      <c r="C59" s="15" t="s">
        <v>37</v>
      </c>
      <c r="D59" s="16">
        <v>200</v>
      </c>
      <c r="E59" s="17">
        <f>1983.1+5.3+1730.1+23.3+62.5+55</f>
        <v>3859.3</v>
      </c>
      <c r="F59" s="17">
        <f>2365.3+2421</f>
        <v>4786.3</v>
      </c>
      <c r="G59" s="17">
        <f>2365.3+93.4+2421</f>
        <v>4879.7000000000007</v>
      </c>
    </row>
    <row r="60" spans="1:7" x14ac:dyDescent="0.25">
      <c r="A60" s="13" t="s">
        <v>38</v>
      </c>
      <c r="B60" s="15" t="s">
        <v>53</v>
      </c>
      <c r="C60" s="15" t="s">
        <v>37</v>
      </c>
      <c r="D60" s="23">
        <v>300</v>
      </c>
      <c r="E60" s="17">
        <f>196+694.8+865.4</f>
        <v>1756.1999999999998</v>
      </c>
      <c r="F60" s="17">
        <v>0</v>
      </c>
      <c r="G60" s="17">
        <v>0</v>
      </c>
    </row>
    <row r="61" spans="1:7" s="7" customFormat="1" ht="19.5" customHeight="1" x14ac:dyDescent="0.25">
      <c r="A61" s="19" t="s">
        <v>39</v>
      </c>
      <c r="B61" s="14" t="s">
        <v>53</v>
      </c>
      <c r="C61" s="15" t="s">
        <v>37</v>
      </c>
      <c r="D61" s="16">
        <v>800</v>
      </c>
      <c r="E61" s="17">
        <f>51+48</f>
        <v>99</v>
      </c>
      <c r="F61" s="17">
        <f>51+48</f>
        <v>99</v>
      </c>
      <c r="G61" s="17">
        <f>51+48</f>
        <v>99</v>
      </c>
    </row>
    <row r="62" spans="1:7" s="7" customFormat="1" ht="19.5" customHeight="1" x14ac:dyDescent="0.25">
      <c r="A62" s="8" t="s">
        <v>652</v>
      </c>
      <c r="B62" s="163" t="s">
        <v>654</v>
      </c>
      <c r="C62" s="164"/>
      <c r="D62" s="11"/>
      <c r="E62" s="12">
        <f>E63</f>
        <v>2450.8000000000002</v>
      </c>
      <c r="F62" s="12">
        <f t="shared" ref="F62:G64" si="18">F63</f>
        <v>0</v>
      </c>
      <c r="G62" s="12">
        <f t="shared" si="18"/>
        <v>0</v>
      </c>
    </row>
    <row r="63" spans="1:7" s="7" customFormat="1" ht="15.75" customHeight="1" x14ac:dyDescent="0.25">
      <c r="A63" s="13" t="s">
        <v>16</v>
      </c>
      <c r="B63" s="21" t="s">
        <v>654</v>
      </c>
      <c r="C63" s="151" t="s">
        <v>17</v>
      </c>
      <c r="D63" s="16"/>
      <c r="E63" s="17">
        <f>E64</f>
        <v>2450.8000000000002</v>
      </c>
      <c r="F63" s="17">
        <f t="shared" si="18"/>
        <v>0</v>
      </c>
      <c r="G63" s="17">
        <f t="shared" si="18"/>
        <v>0</v>
      </c>
    </row>
    <row r="64" spans="1:7" s="7" customFormat="1" ht="16.5" customHeight="1" x14ac:dyDescent="0.25">
      <c r="A64" s="13" t="s">
        <v>653</v>
      </c>
      <c r="B64" s="21" t="s">
        <v>654</v>
      </c>
      <c r="C64" s="151" t="s">
        <v>655</v>
      </c>
      <c r="D64" s="16"/>
      <c r="E64" s="17">
        <f>E65</f>
        <v>2450.8000000000002</v>
      </c>
      <c r="F64" s="17">
        <f t="shared" si="18"/>
        <v>0</v>
      </c>
      <c r="G64" s="17">
        <f t="shared" si="18"/>
        <v>0</v>
      </c>
    </row>
    <row r="65" spans="1:7" s="7" customFormat="1" ht="15" customHeight="1" x14ac:dyDescent="0.25">
      <c r="A65" s="19" t="s">
        <v>39</v>
      </c>
      <c r="B65" s="21" t="s">
        <v>654</v>
      </c>
      <c r="C65" s="151" t="s">
        <v>655</v>
      </c>
      <c r="D65" s="16">
        <v>800</v>
      </c>
      <c r="E65" s="17">
        <v>2450.8000000000002</v>
      </c>
      <c r="F65" s="17">
        <v>0</v>
      </c>
      <c r="G65" s="17">
        <v>0</v>
      </c>
    </row>
    <row r="66" spans="1:7" s="7" customFormat="1" ht="21.75" customHeight="1" x14ac:dyDescent="0.25">
      <c r="A66" s="8" t="s">
        <v>54</v>
      </c>
      <c r="B66" s="9" t="s">
        <v>55</v>
      </c>
      <c r="C66" s="10"/>
      <c r="D66" s="11"/>
      <c r="E66" s="12">
        <f>SUM(E67)</f>
        <v>40000</v>
      </c>
      <c r="F66" s="12">
        <f t="shared" ref="F66:G68" si="19">SUM(F67)</f>
        <v>50000</v>
      </c>
      <c r="G66" s="12">
        <f t="shared" si="19"/>
        <v>50000</v>
      </c>
    </row>
    <row r="67" spans="1:7" x14ac:dyDescent="0.25">
      <c r="A67" s="13" t="s">
        <v>16</v>
      </c>
      <c r="B67" s="14" t="s">
        <v>55</v>
      </c>
      <c r="C67" s="15" t="s">
        <v>17</v>
      </c>
      <c r="D67" s="16"/>
      <c r="E67" s="17">
        <f>SUM(E68)</f>
        <v>40000</v>
      </c>
      <c r="F67" s="17">
        <f t="shared" si="19"/>
        <v>50000</v>
      </c>
      <c r="G67" s="17">
        <f t="shared" si="19"/>
        <v>50000</v>
      </c>
    </row>
    <row r="68" spans="1:7" x14ac:dyDescent="0.25">
      <c r="A68" s="13" t="s">
        <v>56</v>
      </c>
      <c r="B68" s="14" t="s">
        <v>55</v>
      </c>
      <c r="C68" s="15" t="s">
        <v>57</v>
      </c>
      <c r="D68" s="16"/>
      <c r="E68" s="17">
        <f>SUM(E69)</f>
        <v>40000</v>
      </c>
      <c r="F68" s="17">
        <f t="shared" si="19"/>
        <v>50000</v>
      </c>
      <c r="G68" s="17">
        <f t="shared" si="19"/>
        <v>50000</v>
      </c>
    </row>
    <row r="69" spans="1:7" s="7" customFormat="1" x14ac:dyDescent="0.25">
      <c r="A69" s="19" t="s">
        <v>39</v>
      </c>
      <c r="B69" s="14" t="s">
        <v>55</v>
      </c>
      <c r="C69" s="15" t="s">
        <v>57</v>
      </c>
      <c r="D69" s="16">
        <v>800</v>
      </c>
      <c r="E69" s="17">
        <f>20000+20000</f>
        <v>40000</v>
      </c>
      <c r="F69" s="17">
        <v>50000</v>
      </c>
      <c r="G69" s="17">
        <v>50000</v>
      </c>
    </row>
    <row r="70" spans="1:7" s="7" customFormat="1" x14ac:dyDescent="0.25">
      <c r="A70" s="8" t="s">
        <v>58</v>
      </c>
      <c r="B70" s="9" t="s">
        <v>59</v>
      </c>
      <c r="C70" s="10"/>
      <c r="D70" s="11"/>
      <c r="E70" s="12">
        <f>SUM(E71)+E88+E95</f>
        <v>257594.89999999997</v>
      </c>
      <c r="F70" s="12">
        <f>SUM(F71)+F88+F95</f>
        <v>230544.8</v>
      </c>
      <c r="G70" s="12">
        <f>SUM(G71)+G88+G95</f>
        <v>232228.79999999996</v>
      </c>
    </row>
    <row r="71" spans="1:7" s="7" customFormat="1" x14ac:dyDescent="0.25">
      <c r="A71" s="13" t="s">
        <v>16</v>
      </c>
      <c r="B71" s="14" t="s">
        <v>59</v>
      </c>
      <c r="C71" s="15" t="s">
        <v>17</v>
      </c>
      <c r="D71" s="16"/>
      <c r="E71" s="17">
        <f>E77+E81+E83+E72+E85</f>
        <v>228697.19999999995</v>
      </c>
      <c r="F71" s="17">
        <f t="shared" ref="F71:G71" si="20">F77+F81+F83+F72+F85</f>
        <v>201410.5</v>
      </c>
      <c r="G71" s="17">
        <f t="shared" si="20"/>
        <v>203094.49999999997</v>
      </c>
    </row>
    <row r="72" spans="1:7" s="7" customFormat="1" ht="30" x14ac:dyDescent="0.25">
      <c r="A72" s="20" t="s">
        <v>36</v>
      </c>
      <c r="B72" s="14" t="s">
        <v>59</v>
      </c>
      <c r="C72" s="15" t="s">
        <v>37</v>
      </c>
      <c r="D72" s="16"/>
      <c r="E72" s="17">
        <f>SUM(E73:E76)</f>
        <v>41636.299999999996</v>
      </c>
      <c r="F72" s="17">
        <f t="shared" ref="F72:G72" si="21">SUM(F73:F76)</f>
        <v>41111.4</v>
      </c>
      <c r="G72" s="17">
        <f t="shared" si="21"/>
        <v>41111.4</v>
      </c>
    </row>
    <row r="73" spans="1:7" s="7" customFormat="1" ht="60" x14ac:dyDescent="0.25">
      <c r="A73" s="13" t="s">
        <v>20</v>
      </c>
      <c r="B73" s="14" t="s">
        <v>59</v>
      </c>
      <c r="C73" s="15" t="s">
        <v>37</v>
      </c>
      <c r="D73" s="16">
        <v>100</v>
      </c>
      <c r="E73" s="17">
        <f>38617.1-382.3</f>
        <v>38234.799999999996</v>
      </c>
      <c r="F73" s="17">
        <f>39764-1529.2</f>
        <v>38234.800000000003</v>
      </c>
      <c r="G73" s="17">
        <f>39764-1529.2</f>
        <v>38234.800000000003</v>
      </c>
    </row>
    <row r="74" spans="1:7" s="7" customFormat="1" ht="30" x14ac:dyDescent="0.25">
      <c r="A74" s="13" t="s">
        <v>31</v>
      </c>
      <c r="B74" s="14" t="s">
        <v>59</v>
      </c>
      <c r="C74" s="15" t="s">
        <v>37</v>
      </c>
      <c r="D74" s="16">
        <v>200</v>
      </c>
      <c r="E74" s="17">
        <v>1942.5</v>
      </c>
      <c r="F74" s="17">
        <v>2646.5</v>
      </c>
      <c r="G74" s="17">
        <v>2646.5</v>
      </c>
    </row>
    <row r="75" spans="1:7" s="7" customFormat="1" x14ac:dyDescent="0.25">
      <c r="A75" s="13" t="s">
        <v>38</v>
      </c>
      <c r="B75" s="14" t="s">
        <v>59</v>
      </c>
      <c r="C75" s="15" t="s">
        <v>37</v>
      </c>
      <c r="D75" s="16">
        <v>300</v>
      </c>
      <c r="E75" s="17">
        <v>155.19999999999999</v>
      </c>
      <c r="F75" s="17">
        <v>0</v>
      </c>
      <c r="G75" s="17">
        <v>0</v>
      </c>
    </row>
    <row r="76" spans="1:7" s="7" customFormat="1" x14ac:dyDescent="0.25">
      <c r="A76" s="19" t="s">
        <v>39</v>
      </c>
      <c r="B76" s="14" t="s">
        <v>59</v>
      </c>
      <c r="C76" s="15" t="s">
        <v>37</v>
      </c>
      <c r="D76" s="16">
        <v>800</v>
      </c>
      <c r="E76" s="17">
        <f>230.1+1073.7</f>
        <v>1303.8</v>
      </c>
      <c r="F76" s="17">
        <v>230.1</v>
      </c>
      <c r="G76" s="17">
        <v>230.1</v>
      </c>
    </row>
    <row r="77" spans="1:7" s="7" customFormat="1" ht="30" x14ac:dyDescent="0.25">
      <c r="A77" s="19" t="s">
        <v>60</v>
      </c>
      <c r="B77" s="14" t="s">
        <v>59</v>
      </c>
      <c r="C77" s="15" t="s">
        <v>61</v>
      </c>
      <c r="D77" s="16"/>
      <c r="E77" s="17">
        <f>SUM(E78:E80)</f>
        <v>176021.8</v>
      </c>
      <c r="F77" s="17">
        <f t="shared" ref="F77:G77" si="22">SUM(F78:F80)</f>
        <v>140523</v>
      </c>
      <c r="G77" s="17">
        <f t="shared" si="22"/>
        <v>140979.79999999999</v>
      </c>
    </row>
    <row r="78" spans="1:7" s="7" customFormat="1" ht="60" x14ac:dyDescent="0.25">
      <c r="A78" s="13" t="s">
        <v>20</v>
      </c>
      <c r="B78" s="14" t="s">
        <v>59</v>
      </c>
      <c r="C78" s="15" t="s">
        <v>61</v>
      </c>
      <c r="D78" s="16">
        <v>100</v>
      </c>
      <c r="E78" s="17">
        <f>85779.8+5261.9</f>
        <v>91041.7</v>
      </c>
      <c r="F78" s="17">
        <v>88326.2</v>
      </c>
      <c r="G78" s="17">
        <v>88325.9</v>
      </c>
    </row>
    <row r="79" spans="1:7" s="7" customFormat="1" ht="30" x14ac:dyDescent="0.25">
      <c r="A79" s="13" t="s">
        <v>31</v>
      </c>
      <c r="B79" s="14" t="s">
        <v>59</v>
      </c>
      <c r="C79" s="15" t="s">
        <v>61</v>
      </c>
      <c r="D79" s="16">
        <v>200</v>
      </c>
      <c r="E79" s="17">
        <f>57137.9+11620.4+12957</f>
        <v>81715.3</v>
      </c>
      <c r="F79" s="17">
        <v>48932</v>
      </c>
      <c r="G79" s="17">
        <v>49389.1</v>
      </c>
    </row>
    <row r="80" spans="1:7" s="7" customFormat="1" x14ac:dyDescent="0.25">
      <c r="A80" s="19" t="s">
        <v>39</v>
      </c>
      <c r="B80" s="14" t="s">
        <v>59</v>
      </c>
      <c r="C80" s="15" t="s">
        <v>61</v>
      </c>
      <c r="D80" s="16">
        <v>800</v>
      </c>
      <c r="E80" s="17">
        <v>3264.8</v>
      </c>
      <c r="F80" s="17">
        <v>3264.8</v>
      </c>
      <c r="G80" s="17">
        <v>3264.8</v>
      </c>
    </row>
    <row r="81" spans="1:8" s="7" customFormat="1" x14ac:dyDescent="0.25">
      <c r="A81" s="13" t="s">
        <v>62</v>
      </c>
      <c r="B81" s="14" t="s">
        <v>59</v>
      </c>
      <c r="C81" s="15" t="s">
        <v>63</v>
      </c>
      <c r="D81" s="16"/>
      <c r="E81" s="17">
        <f>SUM(E82)</f>
        <v>6827.8</v>
      </c>
      <c r="F81" s="17">
        <f t="shared" ref="F81:G81" si="23">SUM(F82)</f>
        <v>19201.2</v>
      </c>
      <c r="G81" s="17">
        <f t="shared" si="23"/>
        <v>20428.400000000001</v>
      </c>
    </row>
    <row r="82" spans="1:8" s="7" customFormat="1" x14ac:dyDescent="0.25">
      <c r="A82" s="19" t="s">
        <v>39</v>
      </c>
      <c r="B82" s="14" t="s">
        <v>59</v>
      </c>
      <c r="C82" s="15" t="s">
        <v>63</v>
      </c>
      <c r="D82" s="16">
        <v>800</v>
      </c>
      <c r="E82" s="17">
        <f>5000-2399.5+1982.8+1659.6+0.1+1064.6+0.5+262.9-213.6-757.7+198.8+29.3</f>
        <v>6827.8</v>
      </c>
      <c r="F82" s="17">
        <f>21141.8+3271.1-5785.4+310.8+262.9</f>
        <v>19201.2</v>
      </c>
      <c r="G82" s="17">
        <f>20499.5+3187.3-3521.3+262.9</f>
        <v>20428.400000000001</v>
      </c>
    </row>
    <row r="83" spans="1:8" ht="30" x14ac:dyDescent="0.25">
      <c r="A83" s="13" t="s">
        <v>64</v>
      </c>
      <c r="B83" s="14" t="s">
        <v>59</v>
      </c>
      <c r="C83" s="15" t="s">
        <v>65</v>
      </c>
      <c r="D83" s="16"/>
      <c r="E83" s="17">
        <f>SUM(E84)</f>
        <v>689.8</v>
      </c>
      <c r="F83" s="17">
        <f t="shared" ref="F83:G83" si="24">SUM(F84)</f>
        <v>574.9</v>
      </c>
      <c r="G83" s="17">
        <f t="shared" si="24"/>
        <v>574.9</v>
      </c>
    </row>
    <row r="84" spans="1:8" x14ac:dyDescent="0.25">
      <c r="A84" s="13" t="s">
        <v>38</v>
      </c>
      <c r="B84" s="14" t="s">
        <v>59</v>
      </c>
      <c r="C84" s="15" t="s">
        <v>65</v>
      </c>
      <c r="D84" s="16">
        <v>300</v>
      </c>
      <c r="E84" s="17">
        <f>287.5+402.3</f>
        <v>689.8</v>
      </c>
      <c r="F84" s="17">
        <f>287.5+287.4</f>
        <v>574.9</v>
      </c>
      <c r="G84" s="17">
        <f>287.5+287.4</f>
        <v>574.9</v>
      </c>
    </row>
    <row r="85" spans="1:8" x14ac:dyDescent="0.25">
      <c r="A85" s="20" t="s">
        <v>40</v>
      </c>
      <c r="B85" s="32" t="s">
        <v>59</v>
      </c>
      <c r="C85" s="32" t="s">
        <v>41</v>
      </c>
      <c r="D85" s="15"/>
      <c r="E85" s="17">
        <f>E86</f>
        <v>3521.5</v>
      </c>
      <c r="F85" s="17">
        <f t="shared" ref="F85:G86" si="25">F86</f>
        <v>0</v>
      </c>
      <c r="G85" s="17">
        <f t="shared" si="25"/>
        <v>0</v>
      </c>
    </row>
    <row r="86" spans="1:8" x14ac:dyDescent="0.25">
      <c r="A86" s="13" t="s">
        <v>630</v>
      </c>
      <c r="B86" s="15" t="s">
        <v>59</v>
      </c>
      <c r="C86" s="15" t="s">
        <v>631</v>
      </c>
      <c r="D86" s="23"/>
      <c r="E86" s="17">
        <f>E87</f>
        <v>3521.5</v>
      </c>
      <c r="F86" s="17">
        <f t="shared" si="25"/>
        <v>0</v>
      </c>
      <c r="G86" s="17">
        <f t="shared" si="25"/>
        <v>0</v>
      </c>
    </row>
    <row r="87" spans="1:8" ht="30" x14ac:dyDescent="0.25">
      <c r="A87" s="13" t="s">
        <v>31</v>
      </c>
      <c r="B87" s="15" t="s">
        <v>59</v>
      </c>
      <c r="C87" s="15" t="s">
        <v>631</v>
      </c>
      <c r="D87" s="23">
        <v>200</v>
      </c>
      <c r="E87" s="17">
        <v>3521.5</v>
      </c>
      <c r="F87" s="17">
        <v>0</v>
      </c>
      <c r="G87" s="17">
        <v>0</v>
      </c>
    </row>
    <row r="88" spans="1:8" ht="30" x14ac:dyDescent="0.25">
      <c r="A88" s="31" t="s">
        <v>66</v>
      </c>
      <c r="B88" s="32" t="s">
        <v>59</v>
      </c>
      <c r="C88" s="32" t="s">
        <v>67</v>
      </c>
      <c r="D88" s="16"/>
      <c r="E88" s="17">
        <f>SUM(E89)</f>
        <v>28619.200000000001</v>
      </c>
      <c r="F88" s="17">
        <f t="shared" ref="F88:G90" si="26">SUM(F89)</f>
        <v>28855.8</v>
      </c>
      <c r="G88" s="17">
        <f t="shared" si="26"/>
        <v>28855.8</v>
      </c>
    </row>
    <row r="89" spans="1:8" ht="45" x14ac:dyDescent="0.25">
      <c r="A89" s="31" t="s">
        <v>68</v>
      </c>
      <c r="B89" s="32" t="s">
        <v>59</v>
      </c>
      <c r="C89" s="32" t="s">
        <v>69</v>
      </c>
      <c r="D89" s="16"/>
      <c r="E89" s="17">
        <f>SUM(E90)</f>
        <v>28619.200000000001</v>
      </c>
      <c r="F89" s="17">
        <f t="shared" si="26"/>
        <v>28855.8</v>
      </c>
      <c r="G89" s="17">
        <f t="shared" si="26"/>
        <v>28855.8</v>
      </c>
    </row>
    <row r="90" spans="1:8" ht="45" x14ac:dyDescent="0.25">
      <c r="A90" s="31" t="s">
        <v>70</v>
      </c>
      <c r="B90" s="32" t="s">
        <v>59</v>
      </c>
      <c r="C90" s="32" t="s">
        <v>71</v>
      </c>
      <c r="D90" s="16"/>
      <c r="E90" s="17">
        <f>SUM(E91)</f>
        <v>28619.200000000001</v>
      </c>
      <c r="F90" s="17">
        <f t="shared" si="26"/>
        <v>28855.8</v>
      </c>
      <c r="G90" s="17">
        <f t="shared" si="26"/>
        <v>28855.8</v>
      </c>
      <c r="H90" s="33"/>
    </row>
    <row r="91" spans="1:8" ht="30" x14ac:dyDescent="0.25">
      <c r="A91" s="34" t="s">
        <v>72</v>
      </c>
      <c r="B91" s="32" t="s">
        <v>59</v>
      </c>
      <c r="C91" s="32" t="s">
        <v>73</v>
      </c>
      <c r="D91" s="35"/>
      <c r="E91" s="17">
        <f>SUM(E92:E94)</f>
        <v>28619.200000000001</v>
      </c>
      <c r="F91" s="17">
        <f t="shared" ref="F91:G91" si="27">SUM(F92:F94)</f>
        <v>28855.8</v>
      </c>
      <c r="G91" s="17">
        <f t="shared" si="27"/>
        <v>28855.8</v>
      </c>
    </row>
    <row r="92" spans="1:8" ht="60" x14ac:dyDescent="0.25">
      <c r="A92" s="34" t="s">
        <v>74</v>
      </c>
      <c r="B92" s="32" t="s">
        <v>59</v>
      </c>
      <c r="C92" s="32" t="s">
        <v>73</v>
      </c>
      <c r="D92" s="35">
        <v>100</v>
      </c>
      <c r="E92" s="17">
        <f>27152.8+178.6</f>
        <v>27331.399999999998</v>
      </c>
      <c r="F92" s="17">
        <v>27961.1</v>
      </c>
      <c r="G92" s="17">
        <v>27961.1</v>
      </c>
    </row>
    <row r="93" spans="1:8" ht="30" x14ac:dyDescent="0.25">
      <c r="A93" s="34" t="s">
        <v>31</v>
      </c>
      <c r="B93" s="32" t="s">
        <v>59</v>
      </c>
      <c r="C93" s="32" t="s">
        <v>73</v>
      </c>
      <c r="D93" s="35">
        <v>200</v>
      </c>
      <c r="E93" s="17">
        <v>961.9</v>
      </c>
      <c r="F93" s="17">
        <v>568.79999999999995</v>
      </c>
      <c r="G93" s="17">
        <v>568.79999999999995</v>
      </c>
    </row>
    <row r="94" spans="1:8" x14ac:dyDescent="0.25">
      <c r="A94" s="19" t="s">
        <v>39</v>
      </c>
      <c r="B94" s="32" t="s">
        <v>59</v>
      </c>
      <c r="C94" s="32" t="s">
        <v>73</v>
      </c>
      <c r="D94" s="35">
        <v>800</v>
      </c>
      <c r="E94" s="17">
        <v>325.89999999999998</v>
      </c>
      <c r="F94" s="17">
        <v>325.89999999999998</v>
      </c>
      <c r="G94" s="17">
        <v>325.89999999999998</v>
      </c>
    </row>
    <row r="95" spans="1:8" ht="60" x14ac:dyDescent="0.25">
      <c r="A95" s="31" t="s">
        <v>75</v>
      </c>
      <c r="B95" s="32" t="s">
        <v>59</v>
      </c>
      <c r="C95" s="32" t="s">
        <v>76</v>
      </c>
      <c r="D95" s="35"/>
      <c r="E95" s="17">
        <f>SUM(E96)</f>
        <v>278.5</v>
      </c>
      <c r="F95" s="17">
        <f t="shared" ref="F95:G98" si="28">SUM(F96)</f>
        <v>278.5</v>
      </c>
      <c r="G95" s="17">
        <f t="shared" si="28"/>
        <v>278.5</v>
      </c>
    </row>
    <row r="96" spans="1:8" ht="30" x14ac:dyDescent="0.25">
      <c r="A96" s="19" t="s">
        <v>77</v>
      </c>
      <c r="B96" s="32" t="s">
        <v>59</v>
      </c>
      <c r="C96" s="32" t="s">
        <v>78</v>
      </c>
      <c r="D96" s="35"/>
      <c r="E96" s="17">
        <f>SUM(E97)</f>
        <v>278.5</v>
      </c>
      <c r="F96" s="17">
        <f t="shared" si="28"/>
        <v>278.5</v>
      </c>
      <c r="G96" s="17">
        <f t="shared" si="28"/>
        <v>278.5</v>
      </c>
    </row>
    <row r="97" spans="1:7" ht="30" x14ac:dyDescent="0.25">
      <c r="A97" s="19" t="s">
        <v>79</v>
      </c>
      <c r="B97" s="32" t="s">
        <v>59</v>
      </c>
      <c r="C97" s="32" t="s">
        <v>80</v>
      </c>
      <c r="D97" s="35"/>
      <c r="E97" s="17">
        <f>SUM(E98)</f>
        <v>278.5</v>
      </c>
      <c r="F97" s="17">
        <f t="shared" si="28"/>
        <v>278.5</v>
      </c>
      <c r="G97" s="17">
        <f t="shared" si="28"/>
        <v>278.5</v>
      </c>
    </row>
    <row r="98" spans="1:7" ht="30" x14ac:dyDescent="0.25">
      <c r="A98" s="19" t="s">
        <v>81</v>
      </c>
      <c r="B98" s="32" t="s">
        <v>59</v>
      </c>
      <c r="C98" s="32" t="s">
        <v>82</v>
      </c>
      <c r="D98" s="35"/>
      <c r="E98" s="17">
        <f>SUM(E99)</f>
        <v>278.5</v>
      </c>
      <c r="F98" s="17">
        <f t="shared" si="28"/>
        <v>278.5</v>
      </c>
      <c r="G98" s="17">
        <f t="shared" si="28"/>
        <v>278.5</v>
      </c>
    </row>
    <row r="99" spans="1:7" ht="30" collapsed="1" x14ac:dyDescent="0.25">
      <c r="A99" s="34" t="s">
        <v>31</v>
      </c>
      <c r="B99" s="32" t="s">
        <v>59</v>
      </c>
      <c r="C99" s="32" t="s">
        <v>82</v>
      </c>
      <c r="D99" s="35">
        <v>200</v>
      </c>
      <c r="E99" s="17">
        <v>278.5</v>
      </c>
      <c r="F99" s="17">
        <v>278.5</v>
      </c>
      <c r="G99" s="17">
        <v>278.5</v>
      </c>
    </row>
    <row r="100" spans="1:7" s="7" customFormat="1" x14ac:dyDescent="0.25">
      <c r="A100" s="8" t="s">
        <v>83</v>
      </c>
      <c r="B100" s="9" t="s">
        <v>84</v>
      </c>
      <c r="C100" s="10"/>
      <c r="D100" s="11"/>
      <c r="E100" s="12">
        <f>SUM(E101)</f>
        <v>649.20000000000005</v>
      </c>
      <c r="F100" s="12">
        <f t="shared" ref="F100:G102" si="29">SUM(F101)</f>
        <v>254</v>
      </c>
      <c r="G100" s="12">
        <f t="shared" si="29"/>
        <v>254</v>
      </c>
    </row>
    <row r="101" spans="1:7" s="7" customFormat="1" x14ac:dyDescent="0.25">
      <c r="A101" s="8" t="s">
        <v>85</v>
      </c>
      <c r="B101" s="9" t="s">
        <v>86</v>
      </c>
      <c r="C101" s="10"/>
      <c r="D101" s="11"/>
      <c r="E101" s="12">
        <f>SUM(E102)</f>
        <v>649.20000000000005</v>
      </c>
      <c r="F101" s="12">
        <f t="shared" si="29"/>
        <v>254</v>
      </c>
      <c r="G101" s="12">
        <f t="shared" si="29"/>
        <v>254</v>
      </c>
    </row>
    <row r="102" spans="1:7" x14ac:dyDescent="0.25">
      <c r="A102" s="13" t="s">
        <v>16</v>
      </c>
      <c r="B102" s="14" t="s">
        <v>86</v>
      </c>
      <c r="C102" s="15" t="s">
        <v>17</v>
      </c>
      <c r="D102" s="16"/>
      <c r="E102" s="17">
        <f>SUM(E103)</f>
        <v>649.20000000000005</v>
      </c>
      <c r="F102" s="17">
        <f t="shared" si="29"/>
        <v>254</v>
      </c>
      <c r="G102" s="17">
        <f t="shared" si="29"/>
        <v>254</v>
      </c>
    </row>
    <row r="103" spans="1:7" x14ac:dyDescent="0.25">
      <c r="A103" s="13" t="s">
        <v>87</v>
      </c>
      <c r="B103" s="14" t="s">
        <v>86</v>
      </c>
      <c r="C103" s="15" t="s">
        <v>88</v>
      </c>
      <c r="D103" s="16"/>
      <c r="E103" s="17">
        <f>SUM(E104:E105)</f>
        <v>649.20000000000005</v>
      </c>
      <c r="F103" s="17">
        <f>SUM(F104:F105)</f>
        <v>254</v>
      </c>
      <c r="G103" s="17">
        <f>SUM(G104:G105)</f>
        <v>254</v>
      </c>
    </row>
    <row r="104" spans="1:7" ht="30" x14ac:dyDescent="0.25">
      <c r="A104" s="13" t="s">
        <v>31</v>
      </c>
      <c r="B104" s="14" t="s">
        <v>86</v>
      </c>
      <c r="C104" s="15" t="s">
        <v>88</v>
      </c>
      <c r="D104" s="16">
        <v>200</v>
      </c>
      <c r="E104" s="17">
        <v>639.20000000000005</v>
      </c>
      <c r="F104" s="17">
        <v>244</v>
      </c>
      <c r="G104" s="17">
        <v>244</v>
      </c>
    </row>
    <row r="105" spans="1:7" x14ac:dyDescent="0.25">
      <c r="A105" s="13" t="s">
        <v>38</v>
      </c>
      <c r="B105" s="14" t="s">
        <v>86</v>
      </c>
      <c r="C105" s="15" t="s">
        <v>88</v>
      </c>
      <c r="D105" s="16">
        <v>300</v>
      </c>
      <c r="E105" s="17">
        <v>10</v>
      </c>
      <c r="F105" s="17">
        <v>10</v>
      </c>
      <c r="G105" s="17">
        <v>10</v>
      </c>
    </row>
    <row r="106" spans="1:7" s="7" customFormat="1" x14ac:dyDescent="0.25">
      <c r="A106" s="8" t="s">
        <v>89</v>
      </c>
      <c r="B106" s="9" t="s">
        <v>90</v>
      </c>
      <c r="C106" s="10"/>
      <c r="D106" s="11"/>
      <c r="E106" s="12">
        <f>SUM(E107)</f>
        <v>123374.49999999997</v>
      </c>
      <c r="F106" s="12">
        <f t="shared" ref="F106:G107" si="30">SUM(F107)</f>
        <v>127611.1</v>
      </c>
      <c r="G106" s="12">
        <f t="shared" si="30"/>
        <v>127784</v>
      </c>
    </row>
    <row r="107" spans="1:7" s="7" customFormat="1" ht="29.25" x14ac:dyDescent="0.25">
      <c r="A107" s="36" t="s">
        <v>91</v>
      </c>
      <c r="B107" s="9" t="s">
        <v>92</v>
      </c>
      <c r="C107" s="10"/>
      <c r="D107" s="11"/>
      <c r="E107" s="12">
        <f>SUM(E108)</f>
        <v>123374.49999999997</v>
      </c>
      <c r="F107" s="12">
        <f t="shared" si="30"/>
        <v>127611.1</v>
      </c>
      <c r="G107" s="12">
        <f t="shared" si="30"/>
        <v>127784</v>
      </c>
    </row>
    <row r="108" spans="1:7" ht="30" x14ac:dyDescent="0.25">
      <c r="A108" s="20" t="s">
        <v>93</v>
      </c>
      <c r="B108" s="14" t="s">
        <v>92</v>
      </c>
      <c r="C108" s="15" t="s">
        <v>94</v>
      </c>
      <c r="D108" s="16"/>
      <c r="E108" s="17">
        <f>SUM(E109+E115+E122+E127)</f>
        <v>123374.49999999997</v>
      </c>
      <c r="F108" s="17">
        <f>SUM(F109+F115+F122+F127)</f>
        <v>127611.1</v>
      </c>
      <c r="G108" s="17">
        <f>SUM(G109+G115+G122+G127)</f>
        <v>127784</v>
      </c>
    </row>
    <row r="109" spans="1:7" ht="30" x14ac:dyDescent="0.25">
      <c r="A109" s="20" t="s">
        <v>95</v>
      </c>
      <c r="B109" s="14" t="s">
        <v>92</v>
      </c>
      <c r="C109" s="15" t="s">
        <v>96</v>
      </c>
      <c r="D109" s="16"/>
      <c r="E109" s="17">
        <f>SUM(E110)</f>
        <v>40458.6</v>
      </c>
      <c r="F109" s="17">
        <f t="shared" ref="F109:G109" si="31">SUM(F110)</f>
        <v>53300.700000000004</v>
      </c>
      <c r="G109" s="17">
        <f t="shared" si="31"/>
        <v>53300.9</v>
      </c>
    </row>
    <row r="110" spans="1:7" ht="33.75" customHeight="1" x14ac:dyDescent="0.25">
      <c r="A110" s="20" t="s">
        <v>97</v>
      </c>
      <c r="B110" s="14" t="s">
        <v>92</v>
      </c>
      <c r="C110" s="15" t="s">
        <v>98</v>
      </c>
      <c r="D110" s="16"/>
      <c r="E110" s="17">
        <f>SUM(E111+E113)</f>
        <v>40458.6</v>
      </c>
      <c r="F110" s="17">
        <f t="shared" ref="F110:G110" si="32">SUM(F111+F113)</f>
        <v>53300.700000000004</v>
      </c>
      <c r="G110" s="17">
        <f t="shared" si="32"/>
        <v>53300.9</v>
      </c>
    </row>
    <row r="111" spans="1:7" ht="63.95" customHeight="1" x14ac:dyDescent="0.25">
      <c r="A111" s="20" t="s">
        <v>99</v>
      </c>
      <c r="B111" s="14" t="s">
        <v>92</v>
      </c>
      <c r="C111" s="15" t="s">
        <v>100</v>
      </c>
      <c r="D111" s="16"/>
      <c r="E111" s="17">
        <f>SUM(E112)</f>
        <v>37255.599999999999</v>
      </c>
      <c r="F111" s="17">
        <f t="shared" ref="F111:G111" si="33">SUM(F112)</f>
        <v>53222.3</v>
      </c>
      <c r="G111" s="17">
        <f t="shared" si="33"/>
        <v>53222.3</v>
      </c>
    </row>
    <row r="112" spans="1:7" ht="30" x14ac:dyDescent="0.25">
      <c r="A112" s="13" t="s">
        <v>31</v>
      </c>
      <c r="B112" s="14" t="s">
        <v>92</v>
      </c>
      <c r="C112" s="15" t="s">
        <v>100</v>
      </c>
      <c r="D112" s="16">
        <v>200</v>
      </c>
      <c r="E112" s="17">
        <v>37255.599999999999</v>
      </c>
      <c r="F112" s="17">
        <v>53222.3</v>
      </c>
      <c r="G112" s="17">
        <v>53222.3</v>
      </c>
    </row>
    <row r="113" spans="1:7" ht="30" x14ac:dyDescent="0.25">
      <c r="A113" s="13" t="s">
        <v>101</v>
      </c>
      <c r="B113" s="14" t="s">
        <v>92</v>
      </c>
      <c r="C113" s="15" t="s">
        <v>102</v>
      </c>
      <c r="D113" s="16"/>
      <c r="E113" s="17">
        <f>SUM(E114)</f>
        <v>3203</v>
      </c>
      <c r="F113" s="17">
        <f t="shared" ref="F113:G113" si="34">SUM(F114)</f>
        <v>78.399999999999991</v>
      </c>
      <c r="G113" s="17">
        <f t="shared" si="34"/>
        <v>78.599999999999994</v>
      </c>
    </row>
    <row r="114" spans="1:7" ht="30" x14ac:dyDescent="0.25">
      <c r="A114" s="13" t="s">
        <v>31</v>
      </c>
      <c r="B114" s="14" t="s">
        <v>92</v>
      </c>
      <c r="C114" s="15" t="s">
        <v>102</v>
      </c>
      <c r="D114" s="16">
        <v>200</v>
      </c>
      <c r="E114" s="17">
        <f>3191.4+11.6</f>
        <v>3203</v>
      </c>
      <c r="F114" s="17">
        <f>78.1+0.3</f>
        <v>78.399999999999991</v>
      </c>
      <c r="G114" s="17">
        <f>78.3+0.3</f>
        <v>78.599999999999994</v>
      </c>
    </row>
    <row r="115" spans="1:7" ht="30" x14ac:dyDescent="0.25">
      <c r="A115" s="13" t="s">
        <v>103</v>
      </c>
      <c r="B115" s="14" t="s">
        <v>92</v>
      </c>
      <c r="C115" s="15" t="s">
        <v>104</v>
      </c>
      <c r="D115" s="16"/>
      <c r="E115" s="17">
        <f>SUM(E116)</f>
        <v>4217.5</v>
      </c>
      <c r="F115" s="17">
        <f t="shared" ref="F115:G115" si="35">SUM(F116)</f>
        <v>3464.2000000000003</v>
      </c>
      <c r="G115" s="17">
        <f t="shared" si="35"/>
        <v>3464.2000000000003</v>
      </c>
    </row>
    <row r="116" spans="1:7" ht="30" x14ac:dyDescent="0.25">
      <c r="A116" s="13" t="s">
        <v>105</v>
      </c>
      <c r="B116" s="14" t="s">
        <v>92</v>
      </c>
      <c r="C116" s="15" t="s">
        <v>106</v>
      </c>
      <c r="D116" s="16"/>
      <c r="E116" s="17">
        <f>SUM(E117+E119)</f>
        <v>4217.5</v>
      </c>
      <c r="F116" s="17">
        <f t="shared" ref="F116:G116" si="36">SUM(F117+F119)</f>
        <v>3464.2000000000003</v>
      </c>
      <c r="G116" s="17">
        <f t="shared" si="36"/>
        <v>3464.2000000000003</v>
      </c>
    </row>
    <row r="117" spans="1:7" ht="30" x14ac:dyDescent="0.25">
      <c r="A117" s="13" t="s">
        <v>107</v>
      </c>
      <c r="B117" s="14" t="s">
        <v>92</v>
      </c>
      <c r="C117" s="21" t="s">
        <v>108</v>
      </c>
      <c r="D117" s="21"/>
      <c r="E117" s="17">
        <f>SUM(E118)</f>
        <v>409.8</v>
      </c>
      <c r="F117" s="17">
        <f t="shared" ref="F117:G117" si="37">SUM(F118)</f>
        <v>155.30000000000001</v>
      </c>
      <c r="G117" s="17">
        <f t="shared" si="37"/>
        <v>155.30000000000001</v>
      </c>
    </row>
    <row r="118" spans="1:7" s="7" customFormat="1" ht="30" x14ac:dyDescent="0.25">
      <c r="A118" s="13" t="s">
        <v>31</v>
      </c>
      <c r="B118" s="14" t="s">
        <v>92</v>
      </c>
      <c r="C118" s="21" t="s">
        <v>108</v>
      </c>
      <c r="D118" s="21" t="s">
        <v>45</v>
      </c>
      <c r="E118" s="17">
        <f>108.7+254.5+46.6</f>
        <v>409.8</v>
      </c>
      <c r="F118" s="17">
        <v>155.30000000000001</v>
      </c>
      <c r="G118" s="17">
        <v>155.30000000000001</v>
      </c>
    </row>
    <row r="119" spans="1:7" ht="23.25" customHeight="1" x14ac:dyDescent="0.25">
      <c r="A119" s="34" t="s">
        <v>109</v>
      </c>
      <c r="B119" s="14" t="s">
        <v>92</v>
      </c>
      <c r="C119" s="21" t="s">
        <v>110</v>
      </c>
      <c r="D119" s="16"/>
      <c r="E119" s="17">
        <f>SUM(E120:E121)</f>
        <v>3807.7</v>
      </c>
      <c r="F119" s="17">
        <f t="shared" ref="F119:G119" si="38">SUM(F120:F121)</f>
        <v>3308.9</v>
      </c>
      <c r="G119" s="17">
        <f t="shared" si="38"/>
        <v>3308.9</v>
      </c>
    </row>
    <row r="120" spans="1:7" ht="60" x14ac:dyDescent="0.25">
      <c r="A120" s="13" t="s">
        <v>20</v>
      </c>
      <c r="B120" s="14" t="s">
        <v>92</v>
      </c>
      <c r="C120" s="21" t="s">
        <v>110</v>
      </c>
      <c r="D120" s="16">
        <v>100</v>
      </c>
      <c r="E120" s="17">
        <v>3245</v>
      </c>
      <c r="F120" s="17">
        <v>3308.9</v>
      </c>
      <c r="G120" s="17">
        <v>3308.9</v>
      </c>
    </row>
    <row r="121" spans="1:7" ht="30" x14ac:dyDescent="0.25">
      <c r="A121" s="13" t="s">
        <v>31</v>
      </c>
      <c r="B121" s="15" t="s">
        <v>92</v>
      </c>
      <c r="C121" s="32" t="s">
        <v>110</v>
      </c>
      <c r="D121" s="23">
        <v>200</v>
      </c>
      <c r="E121" s="17">
        <f>405+157.7</f>
        <v>562.70000000000005</v>
      </c>
      <c r="F121" s="17">
        <v>0</v>
      </c>
      <c r="G121" s="17">
        <v>0</v>
      </c>
    </row>
    <row r="122" spans="1:7" ht="30" x14ac:dyDescent="0.25">
      <c r="A122" s="20" t="s">
        <v>111</v>
      </c>
      <c r="B122" s="14" t="s">
        <v>92</v>
      </c>
      <c r="C122" s="15" t="s">
        <v>112</v>
      </c>
      <c r="D122" s="16"/>
      <c r="E122" s="17">
        <f>SUM(E123)</f>
        <v>2941.7</v>
      </c>
      <c r="F122" s="17">
        <f t="shared" ref="F122:G123" si="39">SUM(F123)</f>
        <v>3569.5</v>
      </c>
      <c r="G122" s="17">
        <f t="shared" si="39"/>
        <v>3569.5</v>
      </c>
    </row>
    <row r="123" spans="1:7" ht="30" x14ac:dyDescent="0.25">
      <c r="A123" s="20" t="s">
        <v>113</v>
      </c>
      <c r="B123" s="14" t="s">
        <v>92</v>
      </c>
      <c r="C123" s="15" t="s">
        <v>114</v>
      </c>
      <c r="D123" s="16"/>
      <c r="E123" s="17">
        <f>SUM(E124)</f>
        <v>2941.7</v>
      </c>
      <c r="F123" s="17">
        <f t="shared" si="39"/>
        <v>3569.5</v>
      </c>
      <c r="G123" s="17">
        <f t="shared" si="39"/>
        <v>3569.5</v>
      </c>
    </row>
    <row r="124" spans="1:7" x14ac:dyDescent="0.25">
      <c r="A124" s="20" t="s">
        <v>115</v>
      </c>
      <c r="B124" s="14" t="s">
        <v>92</v>
      </c>
      <c r="C124" s="15" t="s">
        <v>116</v>
      </c>
      <c r="D124" s="16"/>
      <c r="E124" s="17">
        <f>SUM(E125:E126)</f>
        <v>2941.7</v>
      </c>
      <c r="F124" s="17">
        <f t="shared" ref="F124:G124" si="40">SUM(F125:F126)</f>
        <v>3569.5</v>
      </c>
      <c r="G124" s="17">
        <f t="shared" si="40"/>
        <v>3569.5</v>
      </c>
    </row>
    <row r="125" spans="1:7" ht="60" x14ac:dyDescent="0.25">
      <c r="A125" s="13" t="s">
        <v>20</v>
      </c>
      <c r="B125" s="14" t="s">
        <v>92</v>
      </c>
      <c r="C125" s="15" t="s">
        <v>116</v>
      </c>
      <c r="D125" s="16">
        <v>100</v>
      </c>
      <c r="E125" s="17">
        <v>1586.6</v>
      </c>
      <c r="F125" s="17">
        <v>1633.7</v>
      </c>
      <c r="G125" s="17">
        <v>1633.7</v>
      </c>
    </row>
    <row r="126" spans="1:7" ht="30" x14ac:dyDescent="0.25">
      <c r="A126" s="13" t="s">
        <v>31</v>
      </c>
      <c r="B126" s="14" t="s">
        <v>92</v>
      </c>
      <c r="C126" s="15" t="s">
        <v>116</v>
      </c>
      <c r="D126" s="16">
        <v>200</v>
      </c>
      <c r="E126" s="17">
        <v>1355.1</v>
      </c>
      <c r="F126" s="17">
        <v>1935.8</v>
      </c>
      <c r="G126" s="17">
        <v>1935.8</v>
      </c>
    </row>
    <row r="127" spans="1:7" ht="50.25" customHeight="1" x14ac:dyDescent="0.25">
      <c r="A127" s="13" t="s">
        <v>117</v>
      </c>
      <c r="B127" s="14" t="s">
        <v>92</v>
      </c>
      <c r="C127" s="15" t="s">
        <v>118</v>
      </c>
      <c r="D127" s="16"/>
      <c r="E127" s="17">
        <f>SUM(E128)</f>
        <v>75756.699999999983</v>
      </c>
      <c r="F127" s="17">
        <f t="shared" ref="F127:G128" si="41">SUM(F128)</f>
        <v>67276.7</v>
      </c>
      <c r="G127" s="17">
        <f t="shared" si="41"/>
        <v>67449.399999999994</v>
      </c>
    </row>
    <row r="128" spans="1:7" ht="31.7" customHeight="1" x14ac:dyDescent="0.25">
      <c r="A128" s="13" t="s">
        <v>119</v>
      </c>
      <c r="B128" s="14" t="s">
        <v>92</v>
      </c>
      <c r="C128" s="15" t="s">
        <v>120</v>
      </c>
      <c r="D128" s="16"/>
      <c r="E128" s="17">
        <f>SUM(E129)</f>
        <v>75756.699999999983</v>
      </c>
      <c r="F128" s="17">
        <f t="shared" si="41"/>
        <v>67276.7</v>
      </c>
      <c r="G128" s="17">
        <f t="shared" si="41"/>
        <v>67449.399999999994</v>
      </c>
    </row>
    <row r="129" spans="1:7" ht="31.7" customHeight="1" x14ac:dyDescent="0.25">
      <c r="A129" s="19" t="s">
        <v>60</v>
      </c>
      <c r="B129" s="14" t="s">
        <v>92</v>
      </c>
      <c r="C129" s="37" t="s">
        <v>121</v>
      </c>
      <c r="D129" s="16"/>
      <c r="E129" s="17">
        <f>SUM(E130:E132)</f>
        <v>75756.699999999983</v>
      </c>
      <c r="F129" s="17">
        <f t="shared" ref="F129:G129" si="42">SUM(F130:F132)</f>
        <v>67276.7</v>
      </c>
      <c r="G129" s="17">
        <f t="shared" si="42"/>
        <v>67449.399999999994</v>
      </c>
    </row>
    <row r="130" spans="1:7" ht="60" x14ac:dyDescent="0.25">
      <c r="A130" s="13" t="s">
        <v>20</v>
      </c>
      <c r="B130" s="14" t="s">
        <v>92</v>
      </c>
      <c r="C130" s="37" t="s">
        <v>121</v>
      </c>
      <c r="D130" s="16">
        <v>100</v>
      </c>
      <c r="E130" s="17">
        <f>57724.2+290+766</f>
        <v>58780.2</v>
      </c>
      <c r="F130" s="17">
        <f>59494.8-0.3</f>
        <v>59494.5</v>
      </c>
      <c r="G130" s="17">
        <f>59494.8-0.3</f>
        <v>59494.5</v>
      </c>
    </row>
    <row r="131" spans="1:7" ht="30" x14ac:dyDescent="0.25">
      <c r="A131" s="13" t="s">
        <v>31</v>
      </c>
      <c r="B131" s="14" t="s">
        <v>92</v>
      </c>
      <c r="C131" s="37" t="s">
        <v>121</v>
      </c>
      <c r="D131" s="16">
        <v>200</v>
      </c>
      <c r="E131" s="17">
        <f>11008.4-290-671.1+3859.9+2113.4</f>
        <v>16020.599999999999</v>
      </c>
      <c r="F131" s="17">
        <v>6826.3</v>
      </c>
      <c r="G131" s="17">
        <v>6999</v>
      </c>
    </row>
    <row r="132" spans="1:7" x14ac:dyDescent="0.25">
      <c r="A132" s="19" t="s">
        <v>39</v>
      </c>
      <c r="B132" s="14" t="s">
        <v>92</v>
      </c>
      <c r="C132" s="37" t="s">
        <v>121</v>
      </c>
      <c r="D132" s="16">
        <v>800</v>
      </c>
      <c r="E132" s="17">
        <f>955.9</f>
        <v>955.9</v>
      </c>
      <c r="F132" s="17">
        <v>955.9</v>
      </c>
      <c r="G132" s="17">
        <v>955.9</v>
      </c>
    </row>
    <row r="133" spans="1:7" s="7" customFormat="1" x14ac:dyDescent="0.25">
      <c r="A133" s="38" t="s">
        <v>122</v>
      </c>
      <c r="B133" s="39" t="s">
        <v>123</v>
      </c>
      <c r="C133" s="39"/>
      <c r="D133" s="40"/>
      <c r="E133" s="12">
        <f>E134+E146+E154+E205+E170</f>
        <v>2201063.6</v>
      </c>
      <c r="F133" s="12">
        <f>F134+F146+F154+F205+F170</f>
        <v>1717602.2000000002</v>
      </c>
      <c r="G133" s="12">
        <f>G134+G146+G154+G205+G170</f>
        <v>2949779.8</v>
      </c>
    </row>
    <row r="134" spans="1:7" s="7" customFormat="1" x14ac:dyDescent="0.25">
      <c r="A134" s="41" t="s">
        <v>124</v>
      </c>
      <c r="B134" s="39" t="s">
        <v>125</v>
      </c>
      <c r="C134" s="39"/>
      <c r="D134" s="40"/>
      <c r="E134" s="12">
        <f>SUM(E135)</f>
        <v>19653.899999999998</v>
      </c>
      <c r="F134" s="12">
        <f t="shared" ref="F134:G136" si="43">SUM(F135)</f>
        <v>3755.4</v>
      </c>
      <c r="G134" s="12">
        <f t="shared" si="43"/>
        <v>3755.4</v>
      </c>
    </row>
    <row r="135" spans="1:7" s="7" customFormat="1" ht="30" x14ac:dyDescent="0.25">
      <c r="A135" s="13" t="s">
        <v>93</v>
      </c>
      <c r="B135" s="32" t="s">
        <v>125</v>
      </c>
      <c r="C135" s="15" t="s">
        <v>94</v>
      </c>
      <c r="D135" s="35"/>
      <c r="E135" s="17">
        <f>SUM(E136)</f>
        <v>19653.899999999998</v>
      </c>
      <c r="F135" s="17">
        <f t="shared" si="43"/>
        <v>3755.4</v>
      </c>
      <c r="G135" s="17">
        <f t="shared" si="43"/>
        <v>3755.4</v>
      </c>
    </row>
    <row r="136" spans="1:7" s="7" customFormat="1" ht="30" x14ac:dyDescent="0.25">
      <c r="A136" s="13" t="s">
        <v>126</v>
      </c>
      <c r="B136" s="32" t="s">
        <v>125</v>
      </c>
      <c r="C136" s="15" t="s">
        <v>127</v>
      </c>
      <c r="D136" s="35"/>
      <c r="E136" s="17">
        <f>SUM(E137)</f>
        <v>19653.899999999998</v>
      </c>
      <c r="F136" s="17">
        <f t="shared" si="43"/>
        <v>3755.4</v>
      </c>
      <c r="G136" s="17">
        <f t="shared" si="43"/>
        <v>3755.4</v>
      </c>
    </row>
    <row r="137" spans="1:7" s="7" customFormat="1" ht="30" x14ac:dyDescent="0.25">
      <c r="A137" s="31" t="s">
        <v>128</v>
      </c>
      <c r="B137" s="32" t="s">
        <v>125</v>
      </c>
      <c r="C137" s="15" t="s">
        <v>129</v>
      </c>
      <c r="D137" s="35"/>
      <c r="E137" s="17">
        <f>SUM(E138+E142+E144)+E140</f>
        <v>19653.899999999998</v>
      </c>
      <c r="F137" s="17">
        <f t="shared" ref="F137:G137" si="44">SUM(F138+F142+F144)+F140</f>
        <v>3755.4</v>
      </c>
      <c r="G137" s="17">
        <f t="shared" si="44"/>
        <v>3755.4</v>
      </c>
    </row>
    <row r="138" spans="1:7" s="7" customFormat="1" ht="30" x14ac:dyDescent="0.25">
      <c r="A138" s="13" t="s">
        <v>130</v>
      </c>
      <c r="B138" s="32" t="s">
        <v>125</v>
      </c>
      <c r="C138" s="15" t="s">
        <v>131</v>
      </c>
      <c r="D138" s="35"/>
      <c r="E138" s="17">
        <f>SUM(E139)</f>
        <v>597.4</v>
      </c>
      <c r="F138" s="17">
        <f t="shared" ref="F138:G138" si="45">SUM(F139)</f>
        <v>0</v>
      </c>
      <c r="G138" s="17">
        <f t="shared" si="45"/>
        <v>0</v>
      </c>
    </row>
    <row r="139" spans="1:7" s="7" customFormat="1" ht="30" x14ac:dyDescent="0.25">
      <c r="A139" s="13" t="s">
        <v>31</v>
      </c>
      <c r="B139" s="32" t="s">
        <v>125</v>
      </c>
      <c r="C139" s="15" t="s">
        <v>131</v>
      </c>
      <c r="D139" s="35">
        <v>200</v>
      </c>
      <c r="E139" s="17">
        <f>1000-402.6</f>
        <v>597.4</v>
      </c>
      <c r="F139" s="17">
        <f>1000-1000</f>
        <v>0</v>
      </c>
      <c r="G139" s="17">
        <f>1000-1000</f>
        <v>0</v>
      </c>
    </row>
    <row r="140" spans="1:7" s="7" customFormat="1" ht="30" x14ac:dyDescent="0.25">
      <c r="A140" s="49" t="s">
        <v>72</v>
      </c>
      <c r="B140" s="32" t="s">
        <v>125</v>
      </c>
      <c r="C140" s="15" t="s">
        <v>606</v>
      </c>
      <c r="D140" s="22"/>
      <c r="E140" s="17">
        <f>E141</f>
        <v>15761.099999999999</v>
      </c>
      <c r="F140" s="17">
        <f t="shared" ref="F140:G140" si="46">F141</f>
        <v>1000</v>
      </c>
      <c r="G140" s="17">
        <f t="shared" si="46"/>
        <v>1000</v>
      </c>
    </row>
    <row r="141" spans="1:7" s="7" customFormat="1" ht="30" x14ac:dyDescent="0.25">
      <c r="A141" s="49" t="s">
        <v>201</v>
      </c>
      <c r="B141" s="32" t="s">
        <v>125</v>
      </c>
      <c r="C141" s="15" t="s">
        <v>606</v>
      </c>
      <c r="D141" s="22">
        <v>600</v>
      </c>
      <c r="E141" s="17">
        <f>7794.2+7966.9</f>
        <v>15761.099999999999</v>
      </c>
      <c r="F141" s="17">
        <v>1000</v>
      </c>
      <c r="G141" s="17">
        <v>1000</v>
      </c>
    </row>
    <row r="142" spans="1:7" s="7" customFormat="1" x14ac:dyDescent="0.25">
      <c r="A142" s="13" t="s">
        <v>132</v>
      </c>
      <c r="B142" s="32" t="s">
        <v>125</v>
      </c>
      <c r="C142" s="15" t="s">
        <v>133</v>
      </c>
      <c r="D142" s="35"/>
      <c r="E142" s="17">
        <f>SUM(E143)</f>
        <v>539.99999999999818</v>
      </c>
      <c r="F142" s="17">
        <f t="shared" ref="F142:G142" si="47">SUM(F143)</f>
        <v>0</v>
      </c>
      <c r="G142" s="17">
        <f t="shared" si="47"/>
        <v>0</v>
      </c>
    </row>
    <row r="143" spans="1:7" s="7" customFormat="1" ht="30" x14ac:dyDescent="0.25">
      <c r="A143" s="13" t="s">
        <v>31</v>
      </c>
      <c r="B143" s="32" t="s">
        <v>125</v>
      </c>
      <c r="C143" s="15" t="s">
        <v>133</v>
      </c>
      <c r="D143" s="35">
        <v>200</v>
      </c>
      <c r="E143" s="17">
        <f>18589.3-10657.7-7391.6</f>
        <v>539.99999999999818</v>
      </c>
      <c r="F143" s="17">
        <v>0</v>
      </c>
      <c r="G143" s="17">
        <v>0</v>
      </c>
    </row>
    <row r="144" spans="1:7" s="7" customFormat="1" ht="45" x14ac:dyDescent="0.25">
      <c r="A144" s="42" t="s">
        <v>134</v>
      </c>
      <c r="B144" s="32" t="s">
        <v>125</v>
      </c>
      <c r="C144" s="15" t="s">
        <v>135</v>
      </c>
      <c r="D144" s="35"/>
      <c r="E144" s="17">
        <f>SUM(E145)</f>
        <v>2755.4</v>
      </c>
      <c r="F144" s="17">
        <f t="shared" ref="F144:G144" si="48">SUM(F145)</f>
        <v>2755.4</v>
      </c>
      <c r="G144" s="17">
        <f t="shared" si="48"/>
        <v>2755.4</v>
      </c>
    </row>
    <row r="145" spans="1:7" s="7" customFormat="1" ht="30" x14ac:dyDescent="0.25">
      <c r="A145" s="13" t="s">
        <v>31</v>
      </c>
      <c r="B145" s="32" t="s">
        <v>125</v>
      </c>
      <c r="C145" s="15" t="s">
        <v>135</v>
      </c>
      <c r="D145" s="35">
        <v>200</v>
      </c>
      <c r="E145" s="17">
        <v>2755.4</v>
      </c>
      <c r="F145" s="17">
        <v>2755.4</v>
      </c>
      <c r="G145" s="17">
        <v>2755.4</v>
      </c>
    </row>
    <row r="146" spans="1:7" s="7" customFormat="1" x14ac:dyDescent="0.25">
      <c r="A146" s="38" t="s">
        <v>136</v>
      </c>
      <c r="B146" s="39" t="s">
        <v>137</v>
      </c>
      <c r="C146" s="39"/>
      <c r="D146" s="40"/>
      <c r="E146" s="12">
        <f>SUM(E147)</f>
        <v>340062.60000000003</v>
      </c>
      <c r="F146" s="12">
        <f t="shared" ref="F146:G152" si="49">SUM(F147)</f>
        <v>103000</v>
      </c>
      <c r="G146" s="12">
        <f t="shared" si="49"/>
        <v>773312.9</v>
      </c>
    </row>
    <row r="147" spans="1:7" ht="30" x14ac:dyDescent="0.25">
      <c r="A147" s="31" t="s">
        <v>93</v>
      </c>
      <c r="B147" s="32" t="s">
        <v>137</v>
      </c>
      <c r="C147" s="32" t="s">
        <v>94</v>
      </c>
      <c r="D147" s="35"/>
      <c r="E147" s="17">
        <f>SUM(E148)</f>
        <v>340062.60000000003</v>
      </c>
      <c r="F147" s="17">
        <f t="shared" si="49"/>
        <v>103000</v>
      </c>
      <c r="G147" s="17">
        <f t="shared" si="49"/>
        <v>773312.9</v>
      </c>
    </row>
    <row r="148" spans="1:7" ht="30" x14ac:dyDescent="0.25">
      <c r="A148" s="31" t="s">
        <v>126</v>
      </c>
      <c r="B148" s="32" t="s">
        <v>137</v>
      </c>
      <c r="C148" s="32" t="s">
        <v>127</v>
      </c>
      <c r="D148" s="35"/>
      <c r="E148" s="17">
        <f>SUM(E149)</f>
        <v>340062.60000000003</v>
      </c>
      <c r="F148" s="17">
        <f t="shared" si="49"/>
        <v>103000</v>
      </c>
      <c r="G148" s="17">
        <f t="shared" si="49"/>
        <v>773312.9</v>
      </c>
    </row>
    <row r="149" spans="1:7" ht="32.25" customHeight="1" x14ac:dyDescent="0.25">
      <c r="A149" s="31" t="s">
        <v>128</v>
      </c>
      <c r="B149" s="32" t="s">
        <v>137</v>
      </c>
      <c r="C149" s="32" t="s">
        <v>129</v>
      </c>
      <c r="D149" s="35"/>
      <c r="E149" s="17">
        <f>SUM(E152)+E150</f>
        <v>340062.60000000003</v>
      </c>
      <c r="F149" s="17">
        <f t="shared" ref="F149:G149" si="50">SUM(F152)+F150</f>
        <v>103000</v>
      </c>
      <c r="G149" s="17">
        <f t="shared" si="50"/>
        <v>773312.9</v>
      </c>
    </row>
    <row r="150" spans="1:7" ht="60" x14ac:dyDescent="0.25">
      <c r="A150" s="165" t="s">
        <v>632</v>
      </c>
      <c r="B150" s="32" t="s">
        <v>137</v>
      </c>
      <c r="C150" s="147" t="s">
        <v>633</v>
      </c>
      <c r="D150" s="35"/>
      <c r="E150" s="17">
        <f>E151</f>
        <v>1747.5</v>
      </c>
      <c r="F150" s="17">
        <f t="shared" ref="F150:G150" si="51">F151</f>
        <v>0</v>
      </c>
      <c r="G150" s="17">
        <f t="shared" si="51"/>
        <v>0</v>
      </c>
    </row>
    <row r="151" spans="1:7" ht="32.25" customHeight="1" x14ac:dyDescent="0.25">
      <c r="A151" s="148" t="s">
        <v>578</v>
      </c>
      <c r="B151" s="32" t="s">
        <v>137</v>
      </c>
      <c r="C151" s="147" t="s">
        <v>633</v>
      </c>
      <c r="D151" s="35">
        <v>400</v>
      </c>
      <c r="E151" s="17">
        <v>1747.5</v>
      </c>
      <c r="F151" s="17">
        <v>0</v>
      </c>
      <c r="G151" s="17">
        <v>0</v>
      </c>
    </row>
    <row r="152" spans="1:7" ht="90" x14ac:dyDescent="0.25">
      <c r="A152" s="43" t="s">
        <v>138</v>
      </c>
      <c r="B152" s="32" t="s">
        <v>137</v>
      </c>
      <c r="C152" s="32" t="s">
        <v>139</v>
      </c>
      <c r="D152" s="35"/>
      <c r="E152" s="17">
        <f>SUM(E153)</f>
        <v>338315.10000000003</v>
      </c>
      <c r="F152" s="17">
        <f t="shared" si="49"/>
        <v>103000</v>
      </c>
      <c r="G152" s="17">
        <f t="shared" si="49"/>
        <v>773312.9</v>
      </c>
    </row>
    <row r="153" spans="1:7" ht="30" x14ac:dyDescent="0.25">
      <c r="A153" s="34" t="s">
        <v>578</v>
      </c>
      <c r="B153" s="32" t="s">
        <v>137</v>
      </c>
      <c r="C153" s="32" t="s">
        <v>139</v>
      </c>
      <c r="D153" s="35">
        <v>400</v>
      </c>
      <c r="E153" s="17">
        <f>290928+1492.4+2753.7+43141</f>
        <v>338315.10000000003</v>
      </c>
      <c r="F153" s="17">
        <v>103000</v>
      </c>
      <c r="G153" s="17">
        <v>773312.9</v>
      </c>
    </row>
    <row r="154" spans="1:7" s="7" customFormat="1" x14ac:dyDescent="0.25">
      <c r="A154" s="38" t="s">
        <v>140</v>
      </c>
      <c r="B154" s="39" t="s">
        <v>141</v>
      </c>
      <c r="C154" s="39"/>
      <c r="D154" s="40"/>
      <c r="E154" s="12">
        <f>SUM(E155)</f>
        <v>90814.1</v>
      </c>
      <c r="F154" s="12">
        <f t="shared" ref="F154:G156" si="52">SUM(F155)</f>
        <v>56682</v>
      </c>
      <c r="G154" s="12">
        <f t="shared" si="52"/>
        <v>43368.799999999996</v>
      </c>
    </row>
    <row r="155" spans="1:7" ht="30" x14ac:dyDescent="0.25">
      <c r="A155" s="31" t="s">
        <v>142</v>
      </c>
      <c r="B155" s="32" t="s">
        <v>141</v>
      </c>
      <c r="C155" s="32" t="s">
        <v>143</v>
      </c>
      <c r="D155" s="35"/>
      <c r="E155" s="17">
        <f>SUM(E156)</f>
        <v>90814.1</v>
      </c>
      <c r="F155" s="17">
        <f t="shared" si="52"/>
        <v>56682</v>
      </c>
      <c r="G155" s="17">
        <f t="shared" si="52"/>
        <v>43368.799999999996</v>
      </c>
    </row>
    <row r="156" spans="1:7" s="7" customFormat="1" ht="34.5" customHeight="1" x14ac:dyDescent="0.25">
      <c r="A156" s="31" t="s">
        <v>144</v>
      </c>
      <c r="B156" s="32" t="s">
        <v>141</v>
      </c>
      <c r="C156" s="32" t="s">
        <v>145</v>
      </c>
      <c r="D156" s="35"/>
      <c r="E156" s="17">
        <f>SUM(E157)</f>
        <v>90814.1</v>
      </c>
      <c r="F156" s="17">
        <f t="shared" si="52"/>
        <v>56682</v>
      </c>
      <c r="G156" s="17">
        <f t="shared" si="52"/>
        <v>43368.799999999996</v>
      </c>
    </row>
    <row r="157" spans="1:7" s="7" customFormat="1" ht="47.25" customHeight="1" x14ac:dyDescent="0.25">
      <c r="A157" s="31" t="s">
        <v>146</v>
      </c>
      <c r="B157" s="32" t="s">
        <v>141</v>
      </c>
      <c r="C157" s="32" t="s">
        <v>147</v>
      </c>
      <c r="D157" s="35"/>
      <c r="E157" s="17">
        <f>SUM(E158+E164+E166+E168)+E160+E162</f>
        <v>90814.1</v>
      </c>
      <c r="F157" s="17">
        <f t="shared" ref="F157:G157" si="53">SUM(F158+F164+F166+F168)+F160+F162</f>
        <v>56682</v>
      </c>
      <c r="G157" s="17">
        <f t="shared" si="53"/>
        <v>43368.799999999996</v>
      </c>
    </row>
    <row r="158" spans="1:7" s="7" customFormat="1" ht="17.25" customHeight="1" x14ac:dyDescent="0.25">
      <c r="A158" s="43" t="s">
        <v>148</v>
      </c>
      <c r="B158" s="32" t="s">
        <v>141</v>
      </c>
      <c r="C158" s="32" t="s">
        <v>149</v>
      </c>
      <c r="D158" s="35"/>
      <c r="E158" s="17">
        <f>SUM(E159)</f>
        <v>35355.800000000003</v>
      </c>
      <c r="F158" s="17">
        <f t="shared" ref="F158:G158" si="54">SUM(F159)</f>
        <v>30316.400000000001</v>
      </c>
      <c r="G158" s="17">
        <f t="shared" si="54"/>
        <v>17003.2</v>
      </c>
    </row>
    <row r="159" spans="1:7" s="7" customFormat="1" ht="30" x14ac:dyDescent="0.25">
      <c r="A159" s="13" t="s">
        <v>31</v>
      </c>
      <c r="B159" s="32" t="s">
        <v>141</v>
      </c>
      <c r="C159" s="32" t="s">
        <v>149</v>
      </c>
      <c r="D159" s="35">
        <v>200</v>
      </c>
      <c r="E159" s="17">
        <f>10894.4-1064.6+17379.2+8146.8</f>
        <v>35355.800000000003</v>
      </c>
      <c r="F159" s="17">
        <f>3470.5-310.8+25997.8+1158.9</f>
        <v>30316.400000000001</v>
      </c>
      <c r="G159" s="17">
        <f>15983+1020.2</f>
        <v>17003.2</v>
      </c>
    </row>
    <row r="160" spans="1:7" s="7" customFormat="1" ht="30" x14ac:dyDescent="0.25">
      <c r="A160" s="34" t="s">
        <v>72</v>
      </c>
      <c r="B160" s="32" t="s">
        <v>141</v>
      </c>
      <c r="C160" s="147" t="s">
        <v>603</v>
      </c>
      <c r="D160" s="35"/>
      <c r="E160" s="17">
        <f>E161</f>
        <v>757.7</v>
      </c>
      <c r="F160" s="17">
        <f t="shared" ref="F160:G160" si="55">F161</f>
        <v>0</v>
      </c>
      <c r="G160" s="17">
        <f t="shared" si="55"/>
        <v>0</v>
      </c>
    </row>
    <row r="161" spans="1:7" s="7" customFormat="1" ht="30" x14ac:dyDescent="0.25">
      <c r="A161" s="34" t="s">
        <v>201</v>
      </c>
      <c r="B161" s="32" t="s">
        <v>141</v>
      </c>
      <c r="C161" s="147" t="s">
        <v>603</v>
      </c>
      <c r="D161" s="35">
        <v>600</v>
      </c>
      <c r="E161" s="17">
        <v>757.7</v>
      </c>
      <c r="F161" s="17">
        <v>0</v>
      </c>
      <c r="G161" s="17">
        <v>0</v>
      </c>
    </row>
    <row r="162" spans="1:7" s="7" customFormat="1" ht="30" x14ac:dyDescent="0.25">
      <c r="A162" s="34" t="s">
        <v>607</v>
      </c>
      <c r="B162" s="32" t="s">
        <v>141</v>
      </c>
      <c r="C162" s="147" t="s">
        <v>608</v>
      </c>
      <c r="D162" s="35"/>
      <c r="E162" s="17">
        <f>E163</f>
        <v>11041.7</v>
      </c>
      <c r="F162" s="17">
        <f t="shared" ref="F162:G162" si="56">F163</f>
        <v>0</v>
      </c>
      <c r="G162" s="17">
        <f t="shared" si="56"/>
        <v>0</v>
      </c>
    </row>
    <row r="163" spans="1:7" s="7" customFormat="1" ht="30" x14ac:dyDescent="0.25">
      <c r="A163" s="13" t="s">
        <v>31</v>
      </c>
      <c r="B163" s="32" t="s">
        <v>141</v>
      </c>
      <c r="C163" s="147" t="s">
        <v>608</v>
      </c>
      <c r="D163" s="35">
        <v>200</v>
      </c>
      <c r="E163" s="17">
        <v>11041.7</v>
      </c>
      <c r="F163" s="17">
        <v>0</v>
      </c>
      <c r="G163" s="17">
        <v>0</v>
      </c>
    </row>
    <row r="164" spans="1:7" ht="45" x14ac:dyDescent="0.25">
      <c r="A164" s="31" t="s">
        <v>150</v>
      </c>
      <c r="B164" s="32" t="s">
        <v>141</v>
      </c>
      <c r="C164" s="32" t="s">
        <v>151</v>
      </c>
      <c r="D164" s="35"/>
      <c r="E164" s="17">
        <f>SUM(E165)</f>
        <v>31507.300000000003</v>
      </c>
      <c r="F164" s="17">
        <f t="shared" ref="F164:G164" si="57">SUM(F165)</f>
        <v>21387.5</v>
      </c>
      <c r="G164" s="17">
        <f t="shared" si="57"/>
        <v>21387.5</v>
      </c>
    </row>
    <row r="165" spans="1:7" x14ac:dyDescent="0.25">
      <c r="A165" s="34" t="s">
        <v>39</v>
      </c>
      <c r="B165" s="32" t="s">
        <v>141</v>
      </c>
      <c r="C165" s="32" t="s">
        <v>151</v>
      </c>
      <c r="D165" s="35">
        <v>800</v>
      </c>
      <c r="E165" s="17">
        <f>35726.3-4219</f>
        <v>31507.300000000003</v>
      </c>
      <c r="F165" s="17">
        <v>21387.5</v>
      </c>
      <c r="G165" s="17">
        <v>21387.5</v>
      </c>
    </row>
    <row r="166" spans="1:7" ht="75" x14ac:dyDescent="0.25">
      <c r="A166" s="31" t="s">
        <v>152</v>
      </c>
      <c r="B166" s="32" t="s">
        <v>141</v>
      </c>
      <c r="C166" s="32" t="s">
        <v>153</v>
      </c>
      <c r="D166" s="35"/>
      <c r="E166" s="17">
        <f>SUM(E167)</f>
        <v>11825.1</v>
      </c>
      <c r="F166" s="17">
        <f t="shared" ref="F166:G166" si="58">SUM(F167)</f>
        <v>4651.6000000000004</v>
      </c>
      <c r="G166" s="17">
        <f t="shared" si="58"/>
        <v>4651.6000000000004</v>
      </c>
    </row>
    <row r="167" spans="1:7" x14ac:dyDescent="0.25">
      <c r="A167" s="34" t="s">
        <v>39</v>
      </c>
      <c r="B167" s="32" t="s">
        <v>141</v>
      </c>
      <c r="C167" s="32" t="s">
        <v>153</v>
      </c>
      <c r="D167" s="35">
        <v>800</v>
      </c>
      <c r="E167" s="17">
        <f>7606.1+4219</f>
        <v>11825.1</v>
      </c>
      <c r="F167" s="17">
        <v>4651.6000000000004</v>
      </c>
      <c r="G167" s="17">
        <v>4651.6000000000004</v>
      </c>
    </row>
    <row r="168" spans="1:7" ht="75" x14ac:dyDescent="0.25">
      <c r="A168" s="44" t="s">
        <v>154</v>
      </c>
      <c r="B168" s="32" t="s">
        <v>141</v>
      </c>
      <c r="C168" s="32" t="s">
        <v>155</v>
      </c>
      <c r="D168" s="35"/>
      <c r="E168" s="17">
        <f>SUM(E169)</f>
        <v>326.5</v>
      </c>
      <c r="F168" s="17">
        <f t="shared" ref="F168:G168" si="59">SUM(F169)</f>
        <v>326.5</v>
      </c>
      <c r="G168" s="17">
        <f t="shared" si="59"/>
        <v>326.5</v>
      </c>
    </row>
    <row r="169" spans="1:7" x14ac:dyDescent="0.25">
      <c r="A169" s="34" t="s">
        <v>39</v>
      </c>
      <c r="B169" s="32" t="s">
        <v>141</v>
      </c>
      <c r="C169" s="32" t="s">
        <v>155</v>
      </c>
      <c r="D169" s="35">
        <v>800</v>
      </c>
      <c r="E169" s="17">
        <v>326.5</v>
      </c>
      <c r="F169" s="17">
        <v>326.5</v>
      </c>
      <c r="G169" s="17">
        <v>326.5</v>
      </c>
    </row>
    <row r="170" spans="1:7" s="7" customFormat="1" x14ac:dyDescent="0.25">
      <c r="A170" s="38" t="s">
        <v>156</v>
      </c>
      <c r="B170" s="39" t="s">
        <v>157</v>
      </c>
      <c r="C170" s="39"/>
      <c r="D170" s="40"/>
      <c r="E170" s="12">
        <f>SUM(E171+E200)</f>
        <v>1322585.2</v>
      </c>
      <c r="F170" s="12">
        <f t="shared" ref="F170:G170" si="60">SUM(F171+F200)</f>
        <v>1307648.1000000001</v>
      </c>
      <c r="G170" s="12">
        <f t="shared" si="60"/>
        <v>1274795.8999999999</v>
      </c>
    </row>
    <row r="171" spans="1:7" ht="30" x14ac:dyDescent="0.25">
      <c r="A171" s="31" t="s">
        <v>142</v>
      </c>
      <c r="B171" s="32" t="s">
        <v>157</v>
      </c>
      <c r="C171" s="32" t="s">
        <v>143</v>
      </c>
      <c r="D171" s="35"/>
      <c r="E171" s="17">
        <f>SUM(E172)</f>
        <v>1315752.3999999999</v>
      </c>
      <c r="F171" s="17">
        <f t="shared" ref="F171:G171" si="61">SUM(F172)</f>
        <v>1300542</v>
      </c>
      <c r="G171" s="17">
        <f t="shared" si="61"/>
        <v>1267689.7999999998</v>
      </c>
    </row>
    <row r="172" spans="1:7" ht="30" x14ac:dyDescent="0.25">
      <c r="A172" s="31" t="s">
        <v>158</v>
      </c>
      <c r="B172" s="32" t="s">
        <v>157</v>
      </c>
      <c r="C172" s="32" t="s">
        <v>159</v>
      </c>
      <c r="D172" s="35"/>
      <c r="E172" s="17">
        <f>SUM(E178)+E173</f>
        <v>1315752.3999999999</v>
      </c>
      <c r="F172" s="17">
        <f t="shared" ref="F172:G172" si="62">SUM(F178)+F173</f>
        <v>1300542</v>
      </c>
      <c r="G172" s="17">
        <f t="shared" si="62"/>
        <v>1267689.7999999998</v>
      </c>
    </row>
    <row r="173" spans="1:7" x14ac:dyDescent="0.25">
      <c r="A173" s="31" t="s">
        <v>160</v>
      </c>
      <c r="B173" s="32" t="s">
        <v>157</v>
      </c>
      <c r="C173" s="32" t="s">
        <v>161</v>
      </c>
      <c r="D173" s="35"/>
      <c r="E173" s="17">
        <f>SUM(E174)+E176</f>
        <v>387997.8</v>
      </c>
      <c r="F173" s="17">
        <f t="shared" ref="F173:G173" si="63">SUM(F174)+F176</f>
        <v>700848.2</v>
      </c>
      <c r="G173" s="17">
        <f t="shared" si="63"/>
        <v>700848.2</v>
      </c>
    </row>
    <row r="174" spans="1:7" ht="45" x14ac:dyDescent="0.25">
      <c r="A174" s="31" t="s">
        <v>162</v>
      </c>
      <c r="B174" s="32" t="s">
        <v>157</v>
      </c>
      <c r="C174" s="32" t="s">
        <v>163</v>
      </c>
      <c r="D174" s="35"/>
      <c r="E174" s="17">
        <f>SUM(E175)</f>
        <v>381137.3</v>
      </c>
      <c r="F174" s="17">
        <f t="shared" ref="F174:G174" si="64">SUM(F175)</f>
        <v>688456</v>
      </c>
      <c r="G174" s="17">
        <f t="shared" si="64"/>
        <v>688456</v>
      </c>
    </row>
    <row r="175" spans="1:7" ht="30" x14ac:dyDescent="0.25">
      <c r="A175" s="31" t="s">
        <v>31</v>
      </c>
      <c r="B175" s="32" t="s">
        <v>157</v>
      </c>
      <c r="C175" s="32" t="s">
        <v>163</v>
      </c>
      <c r="D175" s="35">
        <v>200</v>
      </c>
      <c r="E175" s="17">
        <f>554805.4-169704.7-9863+5899.6</f>
        <v>381137.3</v>
      </c>
      <c r="F175" s="17">
        <f>700848.2-12392.2</f>
        <v>688456</v>
      </c>
      <c r="G175" s="17">
        <f>849865.1-15027.1-146382</f>
        <v>688456</v>
      </c>
    </row>
    <row r="176" spans="1:7" ht="45" x14ac:dyDescent="0.25">
      <c r="A176" s="49" t="s">
        <v>609</v>
      </c>
      <c r="B176" s="32" t="s">
        <v>157</v>
      </c>
      <c r="C176" s="32" t="s">
        <v>610</v>
      </c>
      <c r="D176" s="22"/>
      <c r="E176" s="17">
        <f>E177</f>
        <v>6860.5</v>
      </c>
      <c r="F176" s="17">
        <f t="shared" ref="F176:G176" si="65">F177</f>
        <v>12392.2</v>
      </c>
      <c r="G176" s="17">
        <f t="shared" si="65"/>
        <v>12392.2</v>
      </c>
    </row>
    <row r="177" spans="1:7" ht="30" x14ac:dyDescent="0.25">
      <c r="A177" s="13" t="s">
        <v>31</v>
      </c>
      <c r="B177" s="32" t="s">
        <v>157</v>
      </c>
      <c r="C177" s="32" t="s">
        <v>610</v>
      </c>
      <c r="D177" s="22">
        <v>200</v>
      </c>
      <c r="E177" s="17">
        <f>6791.8+68.7</f>
        <v>6860.5</v>
      </c>
      <c r="F177" s="17">
        <v>12392.2</v>
      </c>
      <c r="G177" s="17">
        <f>15027.1-2634.9</f>
        <v>12392.2</v>
      </c>
    </row>
    <row r="178" spans="1:7" ht="30" x14ac:dyDescent="0.25">
      <c r="A178" s="31" t="s">
        <v>164</v>
      </c>
      <c r="B178" s="32" t="s">
        <v>157</v>
      </c>
      <c r="C178" s="32" t="s">
        <v>165</v>
      </c>
      <c r="D178" s="35"/>
      <c r="E178" s="17">
        <f>SUM(E192+E194+E196+E198)+E181+E188+E184+E186+E179+E190</f>
        <v>927754.6</v>
      </c>
      <c r="F178" s="17">
        <f t="shared" ref="F178:G178" si="66">SUM(F192+F194+F196+F198)+F181+F188+F184+F186+F179+F190</f>
        <v>599693.79999999993</v>
      </c>
      <c r="G178" s="17">
        <f t="shared" si="66"/>
        <v>566841.59999999998</v>
      </c>
    </row>
    <row r="179" spans="1:7" ht="30" x14ac:dyDescent="0.25">
      <c r="A179" s="43" t="s">
        <v>639</v>
      </c>
      <c r="B179" s="32" t="s">
        <v>157</v>
      </c>
      <c r="C179" s="113" t="s">
        <v>640</v>
      </c>
      <c r="D179" s="35"/>
      <c r="E179" s="17">
        <f>E180</f>
        <v>500</v>
      </c>
      <c r="F179" s="17">
        <f t="shared" ref="F179:G179" si="67">F180</f>
        <v>0</v>
      </c>
      <c r="G179" s="17">
        <f t="shared" si="67"/>
        <v>0</v>
      </c>
    </row>
    <row r="180" spans="1:7" ht="30" x14ac:dyDescent="0.25">
      <c r="A180" s="13" t="s">
        <v>31</v>
      </c>
      <c r="B180" s="32" t="s">
        <v>157</v>
      </c>
      <c r="C180" s="113" t="s">
        <v>640</v>
      </c>
      <c r="D180" s="35">
        <v>200</v>
      </c>
      <c r="E180" s="17">
        <v>500</v>
      </c>
      <c r="F180" s="17"/>
      <c r="G180" s="17"/>
    </row>
    <row r="181" spans="1:7" ht="45" x14ac:dyDescent="0.25">
      <c r="A181" s="49" t="s">
        <v>621</v>
      </c>
      <c r="B181" s="32" t="s">
        <v>157</v>
      </c>
      <c r="C181" s="32" t="s">
        <v>166</v>
      </c>
      <c r="D181" s="35"/>
      <c r="E181" s="17">
        <f>SUM(E182:E183)</f>
        <v>640486.79999999993</v>
      </c>
      <c r="F181" s="17">
        <f t="shared" ref="F181:G181" si="68">SUM(F182:F183)</f>
        <v>330594.3</v>
      </c>
      <c r="G181" s="17">
        <f t="shared" si="68"/>
        <v>293086.3</v>
      </c>
    </row>
    <row r="182" spans="1:7" ht="30" x14ac:dyDescent="0.25">
      <c r="A182" s="13" t="s">
        <v>31</v>
      </c>
      <c r="B182" s="32" t="s">
        <v>157</v>
      </c>
      <c r="C182" s="32" t="s">
        <v>166</v>
      </c>
      <c r="D182" s="35">
        <v>200</v>
      </c>
      <c r="E182" s="17">
        <f>377373.2-60456.7+9514.6+253599</f>
        <v>580030.1</v>
      </c>
      <c r="F182" s="17">
        <f>336534.2-5939.9</f>
        <v>330594.3</v>
      </c>
      <c r="G182" s="17">
        <f>298361.8-5275.5</f>
        <v>293086.3</v>
      </c>
    </row>
    <row r="183" spans="1:7" ht="30" x14ac:dyDescent="0.25">
      <c r="A183" s="49" t="s">
        <v>578</v>
      </c>
      <c r="B183" s="32" t="s">
        <v>157</v>
      </c>
      <c r="C183" s="32" t="s">
        <v>166</v>
      </c>
      <c r="D183" s="22">
        <v>400</v>
      </c>
      <c r="E183" s="17">
        <v>60456.7</v>
      </c>
      <c r="F183" s="17">
        <v>0</v>
      </c>
      <c r="G183" s="17">
        <v>0</v>
      </c>
    </row>
    <row r="184" spans="1:7" ht="45" x14ac:dyDescent="0.25">
      <c r="A184" s="49" t="s">
        <v>611</v>
      </c>
      <c r="B184" s="32" t="s">
        <v>157</v>
      </c>
      <c r="C184" s="32" t="s">
        <v>612</v>
      </c>
      <c r="D184" s="22"/>
      <c r="E184" s="17">
        <f>E185</f>
        <v>11528.7</v>
      </c>
      <c r="F184" s="17">
        <f t="shared" ref="F184:G184" si="69">F185</f>
        <v>5939.9</v>
      </c>
      <c r="G184" s="17">
        <f t="shared" si="69"/>
        <v>5275.5</v>
      </c>
    </row>
    <row r="185" spans="1:7" ht="30" x14ac:dyDescent="0.25">
      <c r="A185" s="13" t="s">
        <v>31</v>
      </c>
      <c r="B185" s="32" t="s">
        <v>157</v>
      </c>
      <c r="C185" s="32" t="s">
        <v>612</v>
      </c>
      <c r="D185" s="22">
        <v>200</v>
      </c>
      <c r="E185" s="17">
        <v>11528.7</v>
      </c>
      <c r="F185" s="17">
        <v>5939.9</v>
      </c>
      <c r="G185" s="17">
        <v>5275.5</v>
      </c>
    </row>
    <row r="186" spans="1:7" ht="31.5" x14ac:dyDescent="0.25">
      <c r="A186" s="50" t="s">
        <v>618</v>
      </c>
      <c r="B186" s="32" t="s">
        <v>157</v>
      </c>
      <c r="C186" s="32" t="s">
        <v>619</v>
      </c>
      <c r="D186" s="35"/>
      <c r="E186" s="17">
        <f>E187</f>
        <v>18770.400000000001</v>
      </c>
      <c r="F186" s="17">
        <f t="shared" ref="F186:G186" si="70">F187</f>
        <v>0</v>
      </c>
      <c r="G186" s="17">
        <f t="shared" si="70"/>
        <v>0</v>
      </c>
    </row>
    <row r="187" spans="1:7" x14ac:dyDescent="0.25">
      <c r="A187" s="34" t="s">
        <v>39</v>
      </c>
      <c r="B187" s="32" t="s">
        <v>157</v>
      </c>
      <c r="C187" s="32" t="s">
        <v>619</v>
      </c>
      <c r="D187" s="35">
        <v>800</v>
      </c>
      <c r="E187" s="17">
        <f>1126.2+17644.2</f>
        <v>18770.400000000001</v>
      </c>
      <c r="F187" s="17">
        <v>0</v>
      </c>
      <c r="G187" s="17">
        <v>0</v>
      </c>
    </row>
    <row r="188" spans="1:7" ht="30" x14ac:dyDescent="0.25">
      <c r="A188" s="45" t="s">
        <v>167</v>
      </c>
      <c r="B188" s="32" t="s">
        <v>157</v>
      </c>
      <c r="C188" s="32" t="s">
        <v>168</v>
      </c>
      <c r="D188" s="35"/>
      <c r="E188" s="17">
        <f>SUM(E189)</f>
        <v>12000</v>
      </c>
      <c r="F188" s="17">
        <f t="shared" ref="F188:G188" si="71">SUM(F189)</f>
        <v>12000</v>
      </c>
      <c r="G188" s="17">
        <f t="shared" si="71"/>
        <v>12000</v>
      </c>
    </row>
    <row r="189" spans="1:7" ht="30" x14ac:dyDescent="0.25">
      <c r="A189" s="13" t="s">
        <v>31</v>
      </c>
      <c r="B189" s="32" t="s">
        <v>157</v>
      </c>
      <c r="C189" s="32" t="s">
        <v>168</v>
      </c>
      <c r="D189" s="35">
        <v>200</v>
      </c>
      <c r="E189" s="17">
        <v>12000</v>
      </c>
      <c r="F189" s="17">
        <v>12000</v>
      </c>
      <c r="G189" s="17">
        <v>12000</v>
      </c>
    </row>
    <row r="190" spans="1:7" x14ac:dyDescent="0.25">
      <c r="A190" s="13" t="s">
        <v>656</v>
      </c>
      <c r="B190" s="32" t="s">
        <v>157</v>
      </c>
      <c r="C190" s="32" t="s">
        <v>657</v>
      </c>
      <c r="D190" s="22"/>
      <c r="E190" s="17">
        <f>E191</f>
        <v>3500</v>
      </c>
      <c r="F190" s="17">
        <f t="shared" ref="F190:G190" si="72">F191</f>
        <v>0</v>
      </c>
      <c r="G190" s="17">
        <f t="shared" si="72"/>
        <v>0</v>
      </c>
    </row>
    <row r="191" spans="1:7" ht="30" x14ac:dyDescent="0.25">
      <c r="A191" s="13" t="s">
        <v>31</v>
      </c>
      <c r="B191" s="32" t="s">
        <v>157</v>
      </c>
      <c r="C191" s="32" t="s">
        <v>657</v>
      </c>
      <c r="D191" s="22">
        <v>200</v>
      </c>
      <c r="E191" s="17">
        <v>3500</v>
      </c>
      <c r="F191" s="17">
        <v>0</v>
      </c>
      <c r="G191" s="17">
        <v>0</v>
      </c>
    </row>
    <row r="192" spans="1:7" ht="30" x14ac:dyDescent="0.25">
      <c r="A192" s="31" t="s">
        <v>169</v>
      </c>
      <c r="B192" s="32" t="s">
        <v>157</v>
      </c>
      <c r="C192" s="32" t="s">
        <v>170</v>
      </c>
      <c r="D192" s="35"/>
      <c r="E192" s="17">
        <f>SUM(E193)</f>
        <v>82071.899999999994</v>
      </c>
      <c r="F192" s="17">
        <f t="shared" ref="F192:G192" si="73">SUM(F193)</f>
        <v>104868.3</v>
      </c>
      <c r="G192" s="17">
        <f t="shared" si="73"/>
        <v>104869</v>
      </c>
    </row>
    <row r="193" spans="1:7" x14ac:dyDescent="0.25">
      <c r="A193" s="34" t="s">
        <v>39</v>
      </c>
      <c r="B193" s="32" t="s">
        <v>157</v>
      </c>
      <c r="C193" s="32" t="s">
        <v>170</v>
      </c>
      <c r="D193" s="35">
        <v>800</v>
      </c>
      <c r="E193" s="17">
        <f>89603.4-7586.7+55.2</f>
        <v>82071.899999999994</v>
      </c>
      <c r="F193" s="17">
        <f>112389.8-7586.7+65.2</f>
        <v>104868.3</v>
      </c>
      <c r="G193" s="17">
        <f>112389.8-7586.7+65.9</f>
        <v>104869</v>
      </c>
    </row>
    <row r="194" spans="1:7" ht="47.25" x14ac:dyDescent="0.25">
      <c r="A194" s="145" t="s">
        <v>171</v>
      </c>
      <c r="B194" s="32" t="s">
        <v>157</v>
      </c>
      <c r="C194" s="32" t="s">
        <v>172</v>
      </c>
      <c r="D194" s="35"/>
      <c r="E194" s="17">
        <f>SUM(E195)</f>
        <v>32451.599999999999</v>
      </c>
      <c r="F194" s="17">
        <f t="shared" ref="F194:G194" si="74">SUM(F195)</f>
        <v>19846.099999999999</v>
      </c>
      <c r="G194" s="17">
        <f t="shared" si="74"/>
        <v>19846.099999999999</v>
      </c>
    </row>
    <row r="195" spans="1:7" x14ac:dyDescent="0.25">
      <c r="A195" s="34" t="s">
        <v>39</v>
      </c>
      <c r="B195" s="32" t="s">
        <v>157</v>
      </c>
      <c r="C195" s="32" t="s">
        <v>172</v>
      </c>
      <c r="D195" s="35">
        <v>800</v>
      </c>
      <c r="E195" s="17">
        <f>32451.6</f>
        <v>32451.599999999999</v>
      </c>
      <c r="F195" s="17">
        <f>19846.1</f>
        <v>19846.099999999999</v>
      </c>
      <c r="G195" s="17">
        <f>19846.1</f>
        <v>19846.099999999999</v>
      </c>
    </row>
    <row r="196" spans="1:7" ht="30" x14ac:dyDescent="0.25">
      <c r="A196" s="34" t="s">
        <v>173</v>
      </c>
      <c r="B196" s="32" t="s">
        <v>157</v>
      </c>
      <c r="C196" s="32" t="s">
        <v>174</v>
      </c>
      <c r="D196" s="35"/>
      <c r="E196" s="17">
        <f>SUM(E197)</f>
        <v>0</v>
      </c>
      <c r="F196" s="17">
        <f t="shared" ref="F196:G196" si="75">SUM(F197)</f>
        <v>0</v>
      </c>
      <c r="G196" s="17">
        <f t="shared" si="75"/>
        <v>5319.5</v>
      </c>
    </row>
    <row r="197" spans="1:7" x14ac:dyDescent="0.25">
      <c r="A197" s="34" t="s">
        <v>39</v>
      </c>
      <c r="B197" s="32" t="s">
        <v>157</v>
      </c>
      <c r="C197" s="32" t="s">
        <v>174</v>
      </c>
      <c r="D197" s="35">
        <v>800</v>
      </c>
      <c r="E197" s="17">
        <v>0</v>
      </c>
      <c r="F197" s="17">
        <v>0</v>
      </c>
      <c r="G197" s="17">
        <v>5319.5</v>
      </c>
    </row>
    <row r="198" spans="1:7" ht="60" x14ac:dyDescent="0.25">
      <c r="A198" s="31" t="s">
        <v>175</v>
      </c>
      <c r="B198" s="32" t="s">
        <v>157</v>
      </c>
      <c r="C198" s="32" t="s">
        <v>176</v>
      </c>
      <c r="D198" s="35"/>
      <c r="E198" s="17">
        <f>SUM(E199)</f>
        <v>126445.2</v>
      </c>
      <c r="F198" s="17">
        <f t="shared" ref="F198:G198" si="76">SUM(F199)</f>
        <v>126445.2</v>
      </c>
      <c r="G198" s="17">
        <f t="shared" si="76"/>
        <v>126445.2</v>
      </c>
    </row>
    <row r="199" spans="1:7" x14ac:dyDescent="0.25">
      <c r="A199" s="34" t="s">
        <v>39</v>
      </c>
      <c r="B199" s="32" t="s">
        <v>157</v>
      </c>
      <c r="C199" s="32" t="s">
        <v>176</v>
      </c>
      <c r="D199" s="35">
        <v>800</v>
      </c>
      <c r="E199" s="17">
        <f>118858.5+7586.7-3.2-52+52+3.2</f>
        <v>126445.2</v>
      </c>
      <c r="F199" s="17">
        <f>118858.5+7586.7-3.9-61.3+61.3+3.9</f>
        <v>126445.2</v>
      </c>
      <c r="G199" s="17">
        <f>118858.5+7586.7-3.9-62+62+2.9+1</f>
        <v>126445.2</v>
      </c>
    </row>
    <row r="200" spans="1:7" ht="30" x14ac:dyDescent="0.25">
      <c r="A200" s="20" t="s">
        <v>93</v>
      </c>
      <c r="B200" s="14" t="s">
        <v>157</v>
      </c>
      <c r="C200" s="15" t="s">
        <v>94</v>
      </c>
      <c r="D200" s="35"/>
      <c r="E200" s="17">
        <f>SUM(E201)</f>
        <v>6832.8</v>
      </c>
      <c r="F200" s="17">
        <f t="shared" ref="F200:G203" si="77">SUM(F201)</f>
        <v>7106.1</v>
      </c>
      <c r="G200" s="17">
        <f t="shared" si="77"/>
        <v>7106.1</v>
      </c>
    </row>
    <row r="201" spans="1:7" ht="30" x14ac:dyDescent="0.25">
      <c r="A201" s="20" t="s">
        <v>95</v>
      </c>
      <c r="B201" s="14" t="s">
        <v>157</v>
      </c>
      <c r="C201" s="15" t="s">
        <v>96</v>
      </c>
      <c r="D201" s="35"/>
      <c r="E201" s="17">
        <f>SUM(E202)</f>
        <v>6832.8</v>
      </c>
      <c r="F201" s="17">
        <f t="shared" si="77"/>
        <v>7106.1</v>
      </c>
      <c r="G201" s="17">
        <f t="shared" si="77"/>
        <v>7106.1</v>
      </c>
    </row>
    <row r="202" spans="1:7" ht="30" x14ac:dyDescent="0.25">
      <c r="A202" s="20" t="s">
        <v>97</v>
      </c>
      <c r="B202" s="14" t="s">
        <v>157</v>
      </c>
      <c r="C202" s="15" t="s">
        <v>98</v>
      </c>
      <c r="D202" s="35"/>
      <c r="E202" s="17">
        <f>SUM(E203)</f>
        <v>6832.8</v>
      </c>
      <c r="F202" s="17">
        <f t="shared" si="77"/>
        <v>7106.1</v>
      </c>
      <c r="G202" s="17">
        <f t="shared" si="77"/>
        <v>7106.1</v>
      </c>
    </row>
    <row r="203" spans="1:7" ht="30" x14ac:dyDescent="0.25">
      <c r="A203" s="20" t="s">
        <v>177</v>
      </c>
      <c r="B203" s="14" t="s">
        <v>157</v>
      </c>
      <c r="C203" s="15" t="s">
        <v>178</v>
      </c>
      <c r="D203" s="35"/>
      <c r="E203" s="17">
        <f>SUM(E204)</f>
        <v>6832.8</v>
      </c>
      <c r="F203" s="17">
        <f t="shared" si="77"/>
        <v>7106.1</v>
      </c>
      <c r="G203" s="17">
        <f t="shared" si="77"/>
        <v>7106.1</v>
      </c>
    </row>
    <row r="204" spans="1:7" ht="30" x14ac:dyDescent="0.25">
      <c r="A204" s="13" t="s">
        <v>31</v>
      </c>
      <c r="B204" s="14" t="s">
        <v>157</v>
      </c>
      <c r="C204" s="15" t="s">
        <v>178</v>
      </c>
      <c r="D204" s="35">
        <v>200</v>
      </c>
      <c r="E204" s="17">
        <f>4783+2049.8</f>
        <v>6832.8</v>
      </c>
      <c r="F204" s="17">
        <v>7106.1</v>
      </c>
      <c r="G204" s="17">
        <v>7106.1</v>
      </c>
    </row>
    <row r="205" spans="1:7" s="7" customFormat="1" x14ac:dyDescent="0.25">
      <c r="A205" s="38" t="s">
        <v>179</v>
      </c>
      <c r="B205" s="39" t="s">
        <v>180</v>
      </c>
      <c r="C205" s="39"/>
      <c r="D205" s="40"/>
      <c r="E205" s="12">
        <f>SUM(E206+E220)</f>
        <v>427947.8</v>
      </c>
      <c r="F205" s="12">
        <f>SUM(F206+F220)</f>
        <v>246516.7</v>
      </c>
      <c r="G205" s="12">
        <f>SUM(G206+G220)</f>
        <v>854546.79999999993</v>
      </c>
    </row>
    <row r="206" spans="1:7" ht="30" x14ac:dyDescent="0.25">
      <c r="A206" s="31" t="s">
        <v>181</v>
      </c>
      <c r="B206" s="32" t="s">
        <v>180</v>
      </c>
      <c r="C206" s="32" t="s">
        <v>182</v>
      </c>
      <c r="D206" s="35"/>
      <c r="E206" s="17">
        <f>SUM(E207+E211)</f>
        <v>378455.7</v>
      </c>
      <c r="F206" s="17">
        <f>SUM(F207+F211)</f>
        <v>217250.6</v>
      </c>
      <c r="G206" s="17">
        <f>SUM(G207+G211)</f>
        <v>853546.39999999991</v>
      </c>
    </row>
    <row r="207" spans="1:7" ht="21" customHeight="1" x14ac:dyDescent="0.25">
      <c r="A207" s="31" t="s">
        <v>183</v>
      </c>
      <c r="B207" s="32" t="s">
        <v>180</v>
      </c>
      <c r="C207" s="32" t="s">
        <v>184</v>
      </c>
      <c r="D207" s="35"/>
      <c r="E207" s="17">
        <f>SUM(E208)</f>
        <v>300000</v>
      </c>
      <c r="F207" s="17">
        <f>SUM(F208)</f>
        <v>200000</v>
      </c>
      <c r="G207" s="17">
        <f>SUM(G208)</f>
        <v>851450.2</v>
      </c>
    </row>
    <row r="208" spans="1:7" ht="28.5" customHeight="1" x14ac:dyDescent="0.25">
      <c r="A208" s="34" t="s">
        <v>185</v>
      </c>
      <c r="B208" s="32" t="s">
        <v>180</v>
      </c>
      <c r="C208" s="32" t="s">
        <v>186</v>
      </c>
      <c r="D208" s="35"/>
      <c r="E208" s="17">
        <f>SUM(E209)</f>
        <v>300000</v>
      </c>
      <c r="F208" s="17">
        <f t="shared" ref="F208:G209" si="78">SUM(F209)</f>
        <v>200000</v>
      </c>
      <c r="G208" s="17">
        <f t="shared" si="78"/>
        <v>851450.2</v>
      </c>
    </row>
    <row r="209" spans="1:7" ht="33.75" customHeight="1" x14ac:dyDescent="0.25">
      <c r="A209" s="43" t="s">
        <v>187</v>
      </c>
      <c r="B209" s="32" t="s">
        <v>180</v>
      </c>
      <c r="C209" s="32" t="s">
        <v>188</v>
      </c>
      <c r="D209" s="35"/>
      <c r="E209" s="17">
        <f>SUM(E210)</f>
        <v>300000</v>
      </c>
      <c r="F209" s="17">
        <f t="shared" si="78"/>
        <v>200000</v>
      </c>
      <c r="G209" s="17">
        <f t="shared" si="78"/>
        <v>851450.2</v>
      </c>
    </row>
    <row r="210" spans="1:7" ht="30" x14ac:dyDescent="0.25">
      <c r="A210" s="34" t="s">
        <v>578</v>
      </c>
      <c r="B210" s="32" t="s">
        <v>180</v>
      </c>
      <c r="C210" s="32" t="s">
        <v>188</v>
      </c>
      <c r="D210" s="35">
        <v>400</v>
      </c>
      <c r="E210" s="17">
        <v>300000</v>
      </c>
      <c r="F210" s="17">
        <v>200000</v>
      </c>
      <c r="G210" s="17">
        <f>1232301.3-22851.1-358000</f>
        <v>851450.2</v>
      </c>
    </row>
    <row r="211" spans="1:7" ht="30" x14ac:dyDescent="0.25">
      <c r="A211" s="34" t="s">
        <v>189</v>
      </c>
      <c r="B211" s="32" t="s">
        <v>180</v>
      </c>
      <c r="C211" s="32" t="s">
        <v>190</v>
      </c>
      <c r="D211" s="35"/>
      <c r="E211" s="17">
        <f>SUM(E212+E217)</f>
        <v>78455.7</v>
      </c>
      <c r="F211" s="17">
        <f t="shared" ref="F211:G211" si="79">SUM(F212+F217)</f>
        <v>17250.599999999999</v>
      </c>
      <c r="G211" s="17">
        <f t="shared" si="79"/>
        <v>2096.1999999999998</v>
      </c>
    </row>
    <row r="212" spans="1:7" ht="30" x14ac:dyDescent="0.25">
      <c r="A212" s="34" t="s">
        <v>191</v>
      </c>
      <c r="B212" s="32" t="s">
        <v>180</v>
      </c>
      <c r="C212" s="32" t="s">
        <v>192</v>
      </c>
      <c r="D212" s="35"/>
      <c r="E212" s="17">
        <f>SUM(E213+E215)</f>
        <v>78310.399999999994</v>
      </c>
      <c r="F212" s="17">
        <f t="shared" ref="F212:G212" si="80">SUM(F213+F215)</f>
        <v>17200.599999999999</v>
      </c>
      <c r="G212" s="17">
        <f t="shared" si="80"/>
        <v>2046.2</v>
      </c>
    </row>
    <row r="213" spans="1:7" ht="45" x14ac:dyDescent="0.25">
      <c r="A213" s="34" t="s">
        <v>193</v>
      </c>
      <c r="B213" s="32" t="s">
        <v>180</v>
      </c>
      <c r="C213" s="32" t="s">
        <v>194</v>
      </c>
      <c r="D213" s="35"/>
      <c r="E213" s="17">
        <f>SUM(E214)</f>
        <v>1260</v>
      </c>
      <c r="F213" s="17">
        <f t="shared" ref="F213:G213" si="81">SUM(F214)</f>
        <v>131.80000000000001</v>
      </c>
      <c r="G213" s="17">
        <f t="shared" si="81"/>
        <v>131.80000000000001</v>
      </c>
    </row>
    <row r="214" spans="1:7" ht="30" x14ac:dyDescent="0.25">
      <c r="A214" s="13" t="s">
        <v>31</v>
      </c>
      <c r="B214" s="32" t="s">
        <v>180</v>
      </c>
      <c r="C214" s="32" t="s">
        <v>194</v>
      </c>
      <c r="D214" s="35">
        <v>200</v>
      </c>
      <c r="E214" s="17">
        <v>1260</v>
      </c>
      <c r="F214" s="17">
        <v>131.80000000000001</v>
      </c>
      <c r="G214" s="17">
        <v>131.80000000000001</v>
      </c>
    </row>
    <row r="215" spans="1:7" ht="75" x14ac:dyDescent="0.25">
      <c r="A215" s="44" t="s">
        <v>195</v>
      </c>
      <c r="B215" s="32" t="s">
        <v>180</v>
      </c>
      <c r="C215" s="32" t="s">
        <v>196</v>
      </c>
      <c r="D215" s="35"/>
      <c r="E215" s="17">
        <f>SUM(E216)</f>
        <v>77050.399999999994</v>
      </c>
      <c r="F215" s="17">
        <f t="shared" ref="F215:G215" si="82">SUM(F216)</f>
        <v>17068.8</v>
      </c>
      <c r="G215" s="17">
        <f t="shared" si="82"/>
        <v>1914.4</v>
      </c>
    </row>
    <row r="216" spans="1:7" x14ac:dyDescent="0.25">
      <c r="A216" s="46" t="s">
        <v>39</v>
      </c>
      <c r="B216" s="32" t="s">
        <v>180</v>
      </c>
      <c r="C216" s="32" t="s">
        <v>196</v>
      </c>
      <c r="D216" s="35">
        <v>800</v>
      </c>
      <c r="E216" s="17">
        <f>17068.8+3598.9+56382.7</f>
        <v>77050.399999999994</v>
      </c>
      <c r="F216" s="17">
        <v>17068.8</v>
      </c>
      <c r="G216" s="17">
        <v>1914.4</v>
      </c>
    </row>
    <row r="217" spans="1:7" ht="30" x14ac:dyDescent="0.25">
      <c r="A217" s="45" t="s">
        <v>197</v>
      </c>
      <c r="B217" s="47" t="s">
        <v>180</v>
      </c>
      <c r="C217" s="47" t="s">
        <v>198</v>
      </c>
      <c r="D217" s="48"/>
      <c r="E217" s="17">
        <f>SUM(E218)</f>
        <v>145.30000000000001</v>
      </c>
      <c r="F217" s="17">
        <f t="shared" ref="F217:G218" si="83">SUM(F218)</f>
        <v>50</v>
      </c>
      <c r="G217" s="17">
        <f t="shared" si="83"/>
        <v>50</v>
      </c>
    </row>
    <row r="218" spans="1:7" ht="30" x14ac:dyDescent="0.25">
      <c r="A218" s="45" t="s">
        <v>199</v>
      </c>
      <c r="B218" s="47" t="s">
        <v>180</v>
      </c>
      <c r="C218" s="47" t="s">
        <v>200</v>
      </c>
      <c r="D218" s="48"/>
      <c r="E218" s="17">
        <f>SUM(E219)</f>
        <v>145.30000000000001</v>
      </c>
      <c r="F218" s="17">
        <f t="shared" si="83"/>
        <v>50</v>
      </c>
      <c r="G218" s="17">
        <f t="shared" si="83"/>
        <v>50</v>
      </c>
    </row>
    <row r="219" spans="1:7" ht="30" x14ac:dyDescent="0.25">
      <c r="A219" s="45" t="s">
        <v>201</v>
      </c>
      <c r="B219" s="47" t="s">
        <v>180</v>
      </c>
      <c r="C219" s="47" t="s">
        <v>200</v>
      </c>
      <c r="D219" s="48">
        <v>600</v>
      </c>
      <c r="E219" s="17">
        <v>145.30000000000001</v>
      </c>
      <c r="F219" s="17">
        <v>50</v>
      </c>
      <c r="G219" s="17">
        <v>50</v>
      </c>
    </row>
    <row r="220" spans="1:7" ht="45" x14ac:dyDescent="0.25">
      <c r="A220" s="31" t="s">
        <v>202</v>
      </c>
      <c r="B220" s="32" t="s">
        <v>180</v>
      </c>
      <c r="C220" s="32" t="s">
        <v>203</v>
      </c>
      <c r="D220" s="35"/>
      <c r="E220" s="17">
        <f>SUM(E221+E224)</f>
        <v>49492.1</v>
      </c>
      <c r="F220" s="17">
        <f t="shared" ref="F220:G220" si="84">SUM(F221+F224)</f>
        <v>29266.1</v>
      </c>
      <c r="G220" s="17">
        <f t="shared" si="84"/>
        <v>1000.3999999999999</v>
      </c>
    </row>
    <row r="221" spans="1:7" ht="30" x14ac:dyDescent="0.25">
      <c r="A221" s="31" t="s">
        <v>204</v>
      </c>
      <c r="B221" s="32" t="s">
        <v>180</v>
      </c>
      <c r="C221" s="32" t="s">
        <v>205</v>
      </c>
      <c r="D221" s="35"/>
      <c r="E221" s="17">
        <f>SUM(E222)</f>
        <v>350</v>
      </c>
      <c r="F221" s="17">
        <f t="shared" ref="F221:G222" si="85">SUM(F222)</f>
        <v>296.2</v>
      </c>
      <c r="G221" s="17">
        <f t="shared" si="85"/>
        <v>296.2</v>
      </c>
    </row>
    <row r="222" spans="1:7" ht="45" x14ac:dyDescent="0.25">
      <c r="A222" s="31" t="s">
        <v>206</v>
      </c>
      <c r="B222" s="32" t="s">
        <v>180</v>
      </c>
      <c r="C222" s="32" t="s">
        <v>207</v>
      </c>
      <c r="D222" s="35"/>
      <c r="E222" s="17">
        <f>SUM(E223)</f>
        <v>350</v>
      </c>
      <c r="F222" s="17">
        <f t="shared" si="85"/>
        <v>296.2</v>
      </c>
      <c r="G222" s="17">
        <f t="shared" si="85"/>
        <v>296.2</v>
      </c>
    </row>
    <row r="223" spans="1:7" ht="30" x14ac:dyDescent="0.25">
      <c r="A223" s="13" t="s">
        <v>31</v>
      </c>
      <c r="B223" s="32" t="s">
        <v>180</v>
      </c>
      <c r="C223" s="32" t="s">
        <v>207</v>
      </c>
      <c r="D223" s="35">
        <v>200</v>
      </c>
      <c r="E223" s="17">
        <v>350</v>
      </c>
      <c r="F223" s="17">
        <v>296.2</v>
      </c>
      <c r="G223" s="17">
        <v>296.2</v>
      </c>
    </row>
    <row r="224" spans="1:7" ht="30" x14ac:dyDescent="0.25">
      <c r="A224" s="34" t="s">
        <v>208</v>
      </c>
      <c r="B224" s="32" t="s">
        <v>180</v>
      </c>
      <c r="C224" s="32" t="s">
        <v>209</v>
      </c>
      <c r="D224" s="35"/>
      <c r="E224" s="17">
        <f>SUM(E225)</f>
        <v>49142.1</v>
      </c>
      <c r="F224" s="17">
        <f t="shared" ref="F224:G225" si="86">SUM(F225)</f>
        <v>28969.899999999998</v>
      </c>
      <c r="G224" s="17">
        <f t="shared" si="86"/>
        <v>704.19999999999993</v>
      </c>
    </row>
    <row r="225" spans="1:7" ht="60" x14ac:dyDescent="0.25">
      <c r="A225" s="34" t="s">
        <v>210</v>
      </c>
      <c r="B225" s="32" t="s">
        <v>180</v>
      </c>
      <c r="C225" s="32" t="s">
        <v>211</v>
      </c>
      <c r="D225" s="35"/>
      <c r="E225" s="17">
        <f>SUM(E226)</f>
        <v>49142.1</v>
      </c>
      <c r="F225" s="17">
        <f t="shared" si="86"/>
        <v>28969.899999999998</v>
      </c>
      <c r="G225" s="17">
        <f t="shared" si="86"/>
        <v>704.19999999999993</v>
      </c>
    </row>
    <row r="226" spans="1:7" ht="30" x14ac:dyDescent="0.25">
      <c r="A226" s="13" t="s">
        <v>31</v>
      </c>
      <c r="B226" s="32" t="s">
        <v>180</v>
      </c>
      <c r="C226" s="32" t="s">
        <v>211</v>
      </c>
      <c r="D226" s="35">
        <v>200</v>
      </c>
      <c r="E226" s="17">
        <f>28295.3+10500+81+10815.1-549.3</f>
        <v>49142.1</v>
      </c>
      <c r="F226" s="17">
        <f>28899.1+70.8</f>
        <v>28969.899999999998</v>
      </c>
      <c r="G226" s="17">
        <f>633.4+70.8</f>
        <v>704.19999999999993</v>
      </c>
    </row>
    <row r="227" spans="1:7" s="7" customFormat="1" x14ac:dyDescent="0.25">
      <c r="A227" s="38" t="s">
        <v>212</v>
      </c>
      <c r="B227" s="39" t="s">
        <v>213</v>
      </c>
      <c r="C227" s="39"/>
      <c r="D227" s="40"/>
      <c r="E227" s="12">
        <f>E228+E270+E334+E360</f>
        <v>2826266.0999999996</v>
      </c>
      <c r="F227" s="12">
        <f>F228+F270+F334+F360</f>
        <v>1252820.7000000002</v>
      </c>
      <c r="G227" s="12">
        <f>G228+G270+G334+G360</f>
        <v>1162195.7</v>
      </c>
    </row>
    <row r="228" spans="1:7" s="7" customFormat="1" x14ac:dyDescent="0.25">
      <c r="A228" s="38" t="s">
        <v>214</v>
      </c>
      <c r="B228" s="39" t="s">
        <v>215</v>
      </c>
      <c r="C228" s="39"/>
      <c r="D228" s="40"/>
      <c r="E228" s="12">
        <f>SUM(E232+E254)+E229</f>
        <v>435664.80000000005</v>
      </c>
      <c r="F228" s="12">
        <f>SUM(F232+F254)+F229</f>
        <v>25081.499999999996</v>
      </c>
      <c r="G228" s="12">
        <f>SUM(G232+G254)+G229</f>
        <v>25081.499999999996</v>
      </c>
    </row>
    <row r="229" spans="1:7" s="7" customFormat="1" x14ac:dyDescent="0.25">
      <c r="A229" s="31" t="s">
        <v>16</v>
      </c>
      <c r="B229" s="32" t="s">
        <v>215</v>
      </c>
      <c r="C229" s="32" t="s">
        <v>17</v>
      </c>
      <c r="D229" s="35"/>
      <c r="E229" s="17">
        <f>SUM(E230)</f>
        <v>1800</v>
      </c>
      <c r="F229" s="17">
        <f t="shared" ref="F229:G230" si="87">SUM(F230)</f>
        <v>1800</v>
      </c>
      <c r="G229" s="17">
        <f t="shared" si="87"/>
        <v>1800</v>
      </c>
    </row>
    <row r="230" spans="1:7" s="7" customFormat="1" ht="20.25" customHeight="1" x14ac:dyDescent="0.25">
      <c r="A230" s="31" t="s">
        <v>216</v>
      </c>
      <c r="B230" s="32" t="s">
        <v>215</v>
      </c>
      <c r="C230" s="32" t="s">
        <v>217</v>
      </c>
      <c r="D230" s="35"/>
      <c r="E230" s="17">
        <f>SUM(E231)</f>
        <v>1800</v>
      </c>
      <c r="F230" s="17">
        <f t="shared" si="87"/>
        <v>1800</v>
      </c>
      <c r="G230" s="17">
        <f t="shared" si="87"/>
        <v>1800</v>
      </c>
    </row>
    <row r="231" spans="1:7" s="7" customFormat="1" ht="30" x14ac:dyDescent="0.25">
      <c r="A231" s="34" t="s">
        <v>578</v>
      </c>
      <c r="B231" s="32" t="s">
        <v>215</v>
      </c>
      <c r="C231" s="32" t="s">
        <v>217</v>
      </c>
      <c r="D231" s="35">
        <v>400</v>
      </c>
      <c r="E231" s="17">
        <v>1800</v>
      </c>
      <c r="F231" s="17">
        <v>1800</v>
      </c>
      <c r="G231" s="17">
        <v>1800</v>
      </c>
    </row>
    <row r="232" spans="1:7" ht="30" x14ac:dyDescent="0.25">
      <c r="A232" s="31" t="s">
        <v>66</v>
      </c>
      <c r="B232" s="32" t="s">
        <v>215</v>
      </c>
      <c r="C232" s="32" t="s">
        <v>67</v>
      </c>
      <c r="D232" s="35"/>
      <c r="E232" s="17">
        <f>SUM(E233)+E250</f>
        <v>408961.9</v>
      </c>
      <c r="F232" s="17">
        <f>SUM(F233)+F250</f>
        <v>789.3</v>
      </c>
      <c r="G232" s="17">
        <f>SUM(G233)+G250</f>
        <v>789.3</v>
      </c>
    </row>
    <row r="233" spans="1:7" ht="30" x14ac:dyDescent="0.25">
      <c r="A233" s="31" t="s">
        <v>218</v>
      </c>
      <c r="B233" s="32" t="s">
        <v>215</v>
      </c>
      <c r="C233" s="32" t="s">
        <v>219</v>
      </c>
      <c r="D233" s="35"/>
      <c r="E233" s="17">
        <f>SUM(E241)+E234</f>
        <v>405668.9</v>
      </c>
      <c r="F233" s="17">
        <f t="shared" ref="F233:G233" si="88">SUM(F241)+F234</f>
        <v>264.5</v>
      </c>
      <c r="G233" s="17">
        <f t="shared" si="88"/>
        <v>264.5</v>
      </c>
    </row>
    <row r="234" spans="1:7" ht="30" x14ac:dyDescent="0.25">
      <c r="A234" s="165" t="s">
        <v>644</v>
      </c>
      <c r="B234" s="32" t="s">
        <v>215</v>
      </c>
      <c r="C234" s="32" t="s">
        <v>646</v>
      </c>
      <c r="D234" s="35"/>
      <c r="E234" s="17">
        <f>E235+E238</f>
        <v>315863.8</v>
      </c>
      <c r="F234" s="17">
        <f t="shared" ref="F234:G234" si="89">F235+F238</f>
        <v>0</v>
      </c>
      <c r="G234" s="17">
        <f t="shared" si="89"/>
        <v>0</v>
      </c>
    </row>
    <row r="235" spans="1:7" ht="30" x14ac:dyDescent="0.25">
      <c r="A235" s="165" t="s">
        <v>645</v>
      </c>
      <c r="B235" s="32" t="s">
        <v>215</v>
      </c>
      <c r="C235" s="32" t="s">
        <v>647</v>
      </c>
      <c r="D235" s="35"/>
      <c r="E235" s="17">
        <f>E236+E237</f>
        <v>307483.2</v>
      </c>
      <c r="F235" s="17">
        <f t="shared" ref="F235:G235" si="90">F236+F237</f>
        <v>0</v>
      </c>
      <c r="G235" s="17">
        <f t="shared" si="90"/>
        <v>0</v>
      </c>
    </row>
    <row r="236" spans="1:7" ht="30" x14ac:dyDescent="0.25">
      <c r="A236" s="148" t="s">
        <v>578</v>
      </c>
      <c r="B236" s="32" t="s">
        <v>215</v>
      </c>
      <c r="C236" s="32" t="s">
        <v>647</v>
      </c>
      <c r="D236" s="35">
        <v>400</v>
      </c>
      <c r="E236" s="17">
        <v>271429.8</v>
      </c>
      <c r="F236" s="17"/>
      <c r="G236" s="17"/>
    </row>
    <row r="237" spans="1:7" x14ac:dyDescent="0.25">
      <c r="A237" s="34" t="s">
        <v>39</v>
      </c>
      <c r="B237" s="32" t="s">
        <v>215</v>
      </c>
      <c r="C237" s="32" t="s">
        <v>647</v>
      </c>
      <c r="D237" s="35">
        <v>800</v>
      </c>
      <c r="E237" s="17">
        <v>36053.4</v>
      </c>
      <c r="F237" s="17"/>
      <c r="G237" s="17"/>
    </row>
    <row r="238" spans="1:7" ht="30" x14ac:dyDescent="0.25">
      <c r="A238" s="165" t="s">
        <v>645</v>
      </c>
      <c r="B238" s="32" t="s">
        <v>215</v>
      </c>
      <c r="C238" s="32" t="s">
        <v>648</v>
      </c>
      <c r="D238" s="35"/>
      <c r="E238" s="17">
        <f>E239+E240</f>
        <v>8380.6</v>
      </c>
      <c r="F238" s="17">
        <f t="shared" ref="F238:G238" si="91">F239+F240</f>
        <v>0</v>
      </c>
      <c r="G238" s="17">
        <f t="shared" si="91"/>
        <v>0</v>
      </c>
    </row>
    <row r="239" spans="1:7" ht="30" hidden="1" x14ac:dyDescent="0.25">
      <c r="A239" s="148" t="s">
        <v>578</v>
      </c>
      <c r="B239" s="32" t="s">
        <v>215</v>
      </c>
      <c r="C239" s="32" t="s">
        <v>648</v>
      </c>
      <c r="D239" s="35">
        <v>400</v>
      </c>
      <c r="E239" s="17"/>
      <c r="F239" s="17"/>
      <c r="G239" s="17"/>
    </row>
    <row r="240" spans="1:7" x14ac:dyDescent="0.25">
      <c r="A240" s="34" t="s">
        <v>39</v>
      </c>
      <c r="B240" s="32" t="s">
        <v>215</v>
      </c>
      <c r="C240" s="32" t="s">
        <v>648</v>
      </c>
      <c r="D240" s="35">
        <v>800</v>
      </c>
      <c r="E240" s="17">
        <v>8380.6</v>
      </c>
      <c r="F240" s="17"/>
      <c r="G240" s="17"/>
    </row>
    <row r="241" spans="1:7" ht="30" x14ac:dyDescent="0.25">
      <c r="A241" s="31" t="s">
        <v>220</v>
      </c>
      <c r="B241" s="32" t="s">
        <v>215</v>
      </c>
      <c r="C241" s="32" t="s">
        <v>221</v>
      </c>
      <c r="D241" s="35"/>
      <c r="E241" s="17">
        <f>SUM(E242)+E244+E246+E248</f>
        <v>89805.1</v>
      </c>
      <c r="F241" s="17">
        <f t="shared" ref="F241:G241" si="92">SUM(F242)+F244+F246+F248</f>
        <v>264.5</v>
      </c>
      <c r="G241" s="17">
        <f t="shared" si="92"/>
        <v>264.5</v>
      </c>
    </row>
    <row r="242" spans="1:7" x14ac:dyDescent="0.25">
      <c r="A242" s="31" t="s">
        <v>222</v>
      </c>
      <c r="B242" s="32" t="s">
        <v>215</v>
      </c>
      <c r="C242" s="32" t="s">
        <v>223</v>
      </c>
      <c r="D242" s="35"/>
      <c r="E242" s="17">
        <f>SUM(E243)</f>
        <v>2582.9</v>
      </c>
      <c r="F242" s="17">
        <f t="shared" ref="F242:G242" si="93">SUM(F243)</f>
        <v>264.5</v>
      </c>
      <c r="G242" s="17">
        <f t="shared" si="93"/>
        <v>264.5</v>
      </c>
    </row>
    <row r="243" spans="1:7" ht="30" x14ac:dyDescent="0.25">
      <c r="A243" s="13" t="s">
        <v>31</v>
      </c>
      <c r="B243" s="32" t="s">
        <v>215</v>
      </c>
      <c r="C243" s="32" t="s">
        <v>223</v>
      </c>
      <c r="D243" s="35">
        <v>200</v>
      </c>
      <c r="E243" s="17">
        <f>1400+1182.9</f>
        <v>2582.9</v>
      </c>
      <c r="F243" s="17">
        <v>264.5</v>
      </c>
      <c r="G243" s="17">
        <v>264.5</v>
      </c>
    </row>
    <row r="244" spans="1:7" ht="30" x14ac:dyDescent="0.25">
      <c r="A244" s="13" t="s">
        <v>615</v>
      </c>
      <c r="B244" s="32" t="s">
        <v>215</v>
      </c>
      <c r="C244" s="32" t="s">
        <v>616</v>
      </c>
      <c r="D244" s="22"/>
      <c r="E244" s="17">
        <f>E245</f>
        <v>160.30000000000001</v>
      </c>
      <c r="F244" s="17">
        <f t="shared" ref="F244:G244" si="94">F245</f>
        <v>0</v>
      </c>
      <c r="G244" s="17">
        <f t="shared" si="94"/>
        <v>0</v>
      </c>
    </row>
    <row r="245" spans="1:7" ht="30" x14ac:dyDescent="0.25">
      <c r="A245" s="13" t="s">
        <v>31</v>
      </c>
      <c r="B245" s="32" t="s">
        <v>215</v>
      </c>
      <c r="C245" s="32" t="s">
        <v>616</v>
      </c>
      <c r="D245" s="22">
        <v>200</v>
      </c>
      <c r="E245" s="17">
        <v>160.30000000000001</v>
      </c>
      <c r="F245" s="17">
        <v>0</v>
      </c>
      <c r="G245" s="17">
        <v>0</v>
      </c>
    </row>
    <row r="246" spans="1:7" ht="45" x14ac:dyDescent="0.25">
      <c r="A246" s="165" t="s">
        <v>649</v>
      </c>
      <c r="B246" s="32" t="s">
        <v>215</v>
      </c>
      <c r="C246" s="32" t="s">
        <v>650</v>
      </c>
      <c r="D246" s="35"/>
      <c r="E246" s="17">
        <f>E247</f>
        <v>85053.1</v>
      </c>
      <c r="F246" s="17">
        <f t="shared" ref="F246:G246" si="95">F247</f>
        <v>0</v>
      </c>
      <c r="G246" s="17">
        <f t="shared" si="95"/>
        <v>0</v>
      </c>
    </row>
    <row r="247" spans="1:7" ht="30" x14ac:dyDescent="0.25">
      <c r="A247" s="148" t="s">
        <v>578</v>
      </c>
      <c r="B247" s="32" t="s">
        <v>215</v>
      </c>
      <c r="C247" s="32" t="s">
        <v>650</v>
      </c>
      <c r="D247" s="35">
        <v>400</v>
      </c>
      <c r="E247" s="17">
        <v>85053.1</v>
      </c>
      <c r="F247" s="17"/>
      <c r="G247" s="17"/>
    </row>
    <row r="248" spans="1:7" ht="60" x14ac:dyDescent="0.25">
      <c r="A248" s="165" t="s">
        <v>632</v>
      </c>
      <c r="B248" s="32" t="s">
        <v>215</v>
      </c>
      <c r="C248" s="32" t="s">
        <v>651</v>
      </c>
      <c r="D248" s="35"/>
      <c r="E248" s="17">
        <f>E249</f>
        <v>2008.8</v>
      </c>
      <c r="F248" s="17">
        <f t="shared" ref="F248:G248" si="96">F249</f>
        <v>0</v>
      </c>
      <c r="G248" s="17">
        <f t="shared" si="96"/>
        <v>0</v>
      </c>
    </row>
    <row r="249" spans="1:7" ht="30" x14ac:dyDescent="0.25">
      <c r="A249" s="148" t="s">
        <v>578</v>
      </c>
      <c r="B249" s="32" t="s">
        <v>215</v>
      </c>
      <c r="C249" s="32" t="s">
        <v>651</v>
      </c>
      <c r="D249" s="35">
        <v>400</v>
      </c>
      <c r="E249" s="17">
        <v>2008.8</v>
      </c>
      <c r="F249" s="17"/>
      <c r="G249" s="17"/>
    </row>
    <row r="250" spans="1:7" ht="45" x14ac:dyDescent="0.25">
      <c r="A250" s="31" t="s">
        <v>68</v>
      </c>
      <c r="B250" s="32" t="s">
        <v>215</v>
      </c>
      <c r="C250" s="32" t="s">
        <v>69</v>
      </c>
      <c r="D250" s="35"/>
      <c r="E250" s="17">
        <f>SUM(E251)</f>
        <v>3293</v>
      </c>
      <c r="F250" s="17">
        <f t="shared" ref="F250:G252" si="97">SUM(F251)</f>
        <v>524.79999999999995</v>
      </c>
      <c r="G250" s="17">
        <f t="shared" si="97"/>
        <v>524.79999999999995</v>
      </c>
    </row>
    <row r="251" spans="1:7" ht="45" x14ac:dyDescent="0.25">
      <c r="A251" s="31" t="s">
        <v>70</v>
      </c>
      <c r="B251" s="32" t="s">
        <v>215</v>
      </c>
      <c r="C251" s="32" t="s">
        <v>71</v>
      </c>
      <c r="D251" s="35"/>
      <c r="E251" s="17">
        <f>SUM(E252)</f>
        <v>3293</v>
      </c>
      <c r="F251" s="17">
        <f t="shared" si="97"/>
        <v>524.79999999999995</v>
      </c>
      <c r="G251" s="17">
        <f t="shared" si="97"/>
        <v>524.79999999999995</v>
      </c>
    </row>
    <row r="252" spans="1:7" x14ac:dyDescent="0.25">
      <c r="A252" s="31" t="s">
        <v>224</v>
      </c>
      <c r="B252" s="32" t="s">
        <v>215</v>
      </c>
      <c r="C252" s="32" t="s">
        <v>225</v>
      </c>
      <c r="D252" s="35"/>
      <c r="E252" s="17">
        <f>SUM(E253)</f>
        <v>3293</v>
      </c>
      <c r="F252" s="17">
        <f t="shared" si="97"/>
        <v>524.79999999999995</v>
      </c>
      <c r="G252" s="17">
        <f t="shared" si="97"/>
        <v>524.79999999999995</v>
      </c>
    </row>
    <row r="253" spans="1:7" ht="30" x14ac:dyDescent="0.25">
      <c r="A253" s="34" t="s">
        <v>31</v>
      </c>
      <c r="B253" s="32" t="s">
        <v>215</v>
      </c>
      <c r="C253" s="32" t="s">
        <v>225</v>
      </c>
      <c r="D253" s="35">
        <v>200</v>
      </c>
      <c r="E253" s="17">
        <f>600.7+2692.3</f>
        <v>3293</v>
      </c>
      <c r="F253" s="17">
        <v>524.79999999999995</v>
      </c>
      <c r="G253" s="17">
        <v>524.79999999999995</v>
      </c>
    </row>
    <row r="254" spans="1:7" ht="60" x14ac:dyDescent="0.25">
      <c r="A254" s="31" t="s">
        <v>75</v>
      </c>
      <c r="B254" s="32" t="s">
        <v>215</v>
      </c>
      <c r="C254" s="32" t="s">
        <v>76</v>
      </c>
      <c r="D254" s="35"/>
      <c r="E254" s="17">
        <f>SUM(E255)+E264</f>
        <v>24902.9</v>
      </c>
      <c r="F254" s="17">
        <f t="shared" ref="F254:G254" si="98">SUM(F255)+F264</f>
        <v>22492.199999999997</v>
      </c>
      <c r="G254" s="17">
        <f t="shared" si="98"/>
        <v>22492.199999999997</v>
      </c>
    </row>
    <row r="255" spans="1:7" ht="45" x14ac:dyDescent="0.25">
      <c r="A255" s="31" t="s">
        <v>226</v>
      </c>
      <c r="B255" s="32" t="s">
        <v>215</v>
      </c>
      <c r="C255" s="32" t="s">
        <v>227</v>
      </c>
      <c r="D255" s="35"/>
      <c r="E255" s="17">
        <f>SUM(E256+E259)</f>
        <v>14670.4</v>
      </c>
      <c r="F255" s="17">
        <f t="shared" ref="F255:G255" si="99">SUM(F256+F259)</f>
        <v>9366.6999999999989</v>
      </c>
      <c r="G255" s="17">
        <f t="shared" si="99"/>
        <v>9366.6999999999989</v>
      </c>
    </row>
    <row r="256" spans="1:7" ht="30" x14ac:dyDescent="0.25">
      <c r="A256" s="49" t="s">
        <v>228</v>
      </c>
      <c r="B256" s="32" t="s">
        <v>215</v>
      </c>
      <c r="C256" s="32" t="s">
        <v>229</v>
      </c>
      <c r="D256" s="35"/>
      <c r="E256" s="17">
        <f>SUM(E257)</f>
        <v>13474.9</v>
      </c>
      <c r="F256" s="17">
        <f t="shared" ref="F256:G257" si="100">SUM(F257)</f>
        <v>8906.7999999999993</v>
      </c>
      <c r="G256" s="17">
        <f t="shared" si="100"/>
        <v>8906.7999999999993</v>
      </c>
    </row>
    <row r="257" spans="1:7" ht="45" x14ac:dyDescent="0.25">
      <c r="A257" s="43" t="s">
        <v>230</v>
      </c>
      <c r="B257" s="32" t="s">
        <v>215</v>
      </c>
      <c r="C257" s="113" t="s">
        <v>231</v>
      </c>
      <c r="D257" s="35"/>
      <c r="E257" s="17">
        <f>SUM(E258)</f>
        <v>13474.9</v>
      </c>
      <c r="F257" s="17">
        <f t="shared" si="100"/>
        <v>8906.7999999999993</v>
      </c>
      <c r="G257" s="17">
        <f t="shared" si="100"/>
        <v>8906.7999999999993</v>
      </c>
    </row>
    <row r="258" spans="1:7" x14ac:dyDescent="0.25">
      <c r="A258" s="34" t="s">
        <v>39</v>
      </c>
      <c r="B258" s="32" t="s">
        <v>215</v>
      </c>
      <c r="C258" s="113" t="s">
        <v>231</v>
      </c>
      <c r="D258" s="35">
        <v>800</v>
      </c>
      <c r="E258" s="17">
        <v>13474.9</v>
      </c>
      <c r="F258" s="17">
        <v>8906.7999999999993</v>
      </c>
      <c r="G258" s="17">
        <v>8906.7999999999993</v>
      </c>
    </row>
    <row r="259" spans="1:7" ht="45" x14ac:dyDescent="0.25">
      <c r="A259" s="34" t="s">
        <v>232</v>
      </c>
      <c r="B259" s="32" t="s">
        <v>215</v>
      </c>
      <c r="C259" s="32" t="s">
        <v>233</v>
      </c>
      <c r="D259" s="35"/>
      <c r="E259" s="17">
        <f>SUM(E260+E262)</f>
        <v>1195.5</v>
      </c>
      <c r="F259" s="17">
        <f t="shared" ref="F259:G259" si="101">SUM(F260+F262)</f>
        <v>459.9</v>
      </c>
      <c r="G259" s="17">
        <f t="shared" si="101"/>
        <v>459.9</v>
      </c>
    </row>
    <row r="260" spans="1:7" ht="45" x14ac:dyDescent="0.25">
      <c r="A260" s="34" t="s">
        <v>234</v>
      </c>
      <c r="B260" s="32" t="s">
        <v>215</v>
      </c>
      <c r="C260" s="32" t="s">
        <v>235</v>
      </c>
      <c r="D260" s="35"/>
      <c r="E260" s="17">
        <f>SUM(E261)</f>
        <v>420</v>
      </c>
      <c r="F260" s="17">
        <f t="shared" ref="F260:G260" si="102">SUM(F261)</f>
        <v>139.19999999999999</v>
      </c>
      <c r="G260" s="17">
        <f t="shared" si="102"/>
        <v>139.19999999999999</v>
      </c>
    </row>
    <row r="261" spans="1:7" ht="30" x14ac:dyDescent="0.25">
      <c r="A261" s="13" t="s">
        <v>31</v>
      </c>
      <c r="B261" s="32" t="s">
        <v>215</v>
      </c>
      <c r="C261" s="32" t="s">
        <v>235</v>
      </c>
      <c r="D261" s="35">
        <v>200</v>
      </c>
      <c r="E261" s="17">
        <v>420</v>
      </c>
      <c r="F261" s="17">
        <v>139.19999999999999</v>
      </c>
      <c r="G261" s="17">
        <v>139.19999999999999</v>
      </c>
    </row>
    <row r="262" spans="1:7" ht="30" x14ac:dyDescent="0.25">
      <c r="A262" s="34" t="s">
        <v>236</v>
      </c>
      <c r="B262" s="32" t="s">
        <v>215</v>
      </c>
      <c r="C262" s="32" t="s">
        <v>237</v>
      </c>
      <c r="D262" s="35"/>
      <c r="E262" s="17">
        <f>SUM(E263)</f>
        <v>775.5</v>
      </c>
      <c r="F262" s="17">
        <f t="shared" ref="F262:G262" si="103">SUM(F263)</f>
        <v>320.7</v>
      </c>
      <c r="G262" s="17">
        <f t="shared" si="103"/>
        <v>320.7</v>
      </c>
    </row>
    <row r="263" spans="1:7" ht="30" x14ac:dyDescent="0.25">
      <c r="A263" s="34" t="s">
        <v>238</v>
      </c>
      <c r="B263" s="32" t="s">
        <v>215</v>
      </c>
      <c r="C263" s="32" t="s">
        <v>237</v>
      </c>
      <c r="D263" s="35">
        <v>200</v>
      </c>
      <c r="E263" s="17">
        <v>775.5</v>
      </c>
      <c r="F263" s="17">
        <v>320.7</v>
      </c>
      <c r="G263" s="17">
        <v>320.7</v>
      </c>
    </row>
    <row r="264" spans="1:7" ht="30" x14ac:dyDescent="0.25">
      <c r="A264" s="34" t="s">
        <v>239</v>
      </c>
      <c r="B264" s="32" t="s">
        <v>215</v>
      </c>
      <c r="C264" s="32" t="s">
        <v>240</v>
      </c>
      <c r="D264" s="35"/>
      <c r="E264" s="17">
        <f>SUM(E265)</f>
        <v>10232.5</v>
      </c>
      <c r="F264" s="17">
        <f t="shared" ref="F264:G264" si="104">SUM(F265)</f>
        <v>13125.5</v>
      </c>
      <c r="G264" s="17">
        <f t="shared" si="104"/>
        <v>13125.5</v>
      </c>
    </row>
    <row r="265" spans="1:7" ht="30" x14ac:dyDescent="0.25">
      <c r="A265" s="34" t="s">
        <v>241</v>
      </c>
      <c r="B265" s="32" t="s">
        <v>215</v>
      </c>
      <c r="C265" s="32" t="s">
        <v>242</v>
      </c>
      <c r="D265" s="35"/>
      <c r="E265" s="17">
        <f>SUM(E268)+E266</f>
        <v>10232.5</v>
      </c>
      <c r="F265" s="17">
        <f t="shared" ref="F265:G265" si="105">SUM(F268)+F266</f>
        <v>13125.5</v>
      </c>
      <c r="G265" s="17">
        <f t="shared" si="105"/>
        <v>13125.5</v>
      </c>
    </row>
    <row r="266" spans="1:7" x14ac:dyDescent="0.25">
      <c r="A266" s="34" t="s">
        <v>243</v>
      </c>
      <c r="B266" s="32" t="s">
        <v>215</v>
      </c>
      <c r="C266" s="32" t="s">
        <v>244</v>
      </c>
      <c r="D266" s="35"/>
      <c r="E266" s="17">
        <f>SUM(E267)</f>
        <v>1692.5</v>
      </c>
      <c r="F266" s="17">
        <f t="shared" ref="F266:G266" si="106">SUM(F267)</f>
        <v>925.5</v>
      </c>
      <c r="G266" s="17">
        <f t="shared" si="106"/>
        <v>925.5</v>
      </c>
    </row>
    <row r="267" spans="1:7" ht="30" x14ac:dyDescent="0.25">
      <c r="A267" s="13" t="s">
        <v>31</v>
      </c>
      <c r="B267" s="32" t="s">
        <v>215</v>
      </c>
      <c r="C267" s="32" t="s">
        <v>244</v>
      </c>
      <c r="D267" s="35">
        <v>200</v>
      </c>
      <c r="E267" s="17">
        <f>1059.4+633.1</f>
        <v>1692.5</v>
      </c>
      <c r="F267" s="17">
        <v>925.5</v>
      </c>
      <c r="G267" s="17">
        <v>925.5</v>
      </c>
    </row>
    <row r="268" spans="1:7" ht="45" x14ac:dyDescent="0.25">
      <c r="A268" s="34" t="s">
        <v>245</v>
      </c>
      <c r="B268" s="32" t="s">
        <v>215</v>
      </c>
      <c r="C268" s="32" t="s">
        <v>246</v>
      </c>
      <c r="D268" s="35"/>
      <c r="E268" s="17">
        <f>SUM(E269)</f>
        <v>8540</v>
      </c>
      <c r="F268" s="17">
        <f>SUM(F269)</f>
        <v>12200</v>
      </c>
      <c r="G268" s="17">
        <f>SUM(G269)</f>
        <v>12200</v>
      </c>
    </row>
    <row r="269" spans="1:7" ht="30" x14ac:dyDescent="0.25">
      <c r="A269" s="34" t="s">
        <v>31</v>
      </c>
      <c r="B269" s="32" t="s">
        <v>215</v>
      </c>
      <c r="C269" s="32" t="s">
        <v>246</v>
      </c>
      <c r="D269" s="35">
        <v>200</v>
      </c>
      <c r="E269" s="17">
        <v>8540</v>
      </c>
      <c r="F269" s="17">
        <v>12200</v>
      </c>
      <c r="G269" s="17">
        <v>12200</v>
      </c>
    </row>
    <row r="270" spans="1:7" s="7" customFormat="1" x14ac:dyDescent="0.25">
      <c r="A270" s="38" t="s">
        <v>247</v>
      </c>
      <c r="B270" s="39" t="s">
        <v>248</v>
      </c>
      <c r="C270" s="39"/>
      <c r="D270" s="40"/>
      <c r="E270" s="12">
        <f>SUM(E271)</f>
        <v>1639194.7999999996</v>
      </c>
      <c r="F270" s="12">
        <f t="shared" ref="F270:G271" si="107">SUM(F271)</f>
        <v>799295</v>
      </c>
      <c r="G270" s="12">
        <f t="shared" si="107"/>
        <v>709046.2</v>
      </c>
    </row>
    <row r="271" spans="1:7" ht="52.5" customHeight="1" x14ac:dyDescent="0.25">
      <c r="A271" s="49" t="s">
        <v>249</v>
      </c>
      <c r="B271" s="32" t="s">
        <v>248</v>
      </c>
      <c r="C271" s="32" t="s">
        <v>76</v>
      </c>
      <c r="D271" s="35"/>
      <c r="E271" s="17">
        <f>SUM(E272)</f>
        <v>1639194.7999999996</v>
      </c>
      <c r="F271" s="17">
        <f t="shared" si="107"/>
        <v>799295</v>
      </c>
      <c r="G271" s="17">
        <f t="shared" si="107"/>
        <v>709046.2</v>
      </c>
    </row>
    <row r="272" spans="1:7" ht="45" x14ac:dyDescent="0.25">
      <c r="A272" s="49" t="s">
        <v>226</v>
      </c>
      <c r="B272" s="32" t="s">
        <v>248</v>
      </c>
      <c r="C272" s="32" t="s">
        <v>227</v>
      </c>
      <c r="D272" s="35"/>
      <c r="E272" s="17">
        <f>SUM(E273+E278+E288)+E331+E328+E283</f>
        <v>1639194.7999999996</v>
      </c>
      <c r="F272" s="17">
        <f>SUM(F273+F278+F288)+F331+F328+F283</f>
        <v>799295</v>
      </c>
      <c r="G272" s="17">
        <f>SUM(G273+G278+G288)+G331+G328+G283</f>
        <v>709046.2</v>
      </c>
    </row>
    <row r="273" spans="1:7" hidden="1" x14ac:dyDescent="0.25">
      <c r="A273" s="49" t="s">
        <v>250</v>
      </c>
      <c r="B273" s="32" t="s">
        <v>248</v>
      </c>
      <c r="C273" s="32" t="s">
        <v>251</v>
      </c>
      <c r="D273" s="35"/>
      <c r="E273" s="17">
        <f>SUM(E274)+E276</f>
        <v>9.0949470177292824E-12</v>
      </c>
      <c r="F273" s="17">
        <f t="shared" ref="F273:G273" si="108">SUM(F274)+F276</f>
        <v>0</v>
      </c>
      <c r="G273" s="17">
        <f t="shared" si="108"/>
        <v>0</v>
      </c>
    </row>
    <row r="274" spans="1:7" ht="33.75" hidden="1" customHeight="1" x14ac:dyDescent="0.25">
      <c r="A274" s="50" t="s">
        <v>252</v>
      </c>
      <c r="B274" s="32" t="s">
        <v>248</v>
      </c>
      <c r="C274" s="32" t="s">
        <v>253</v>
      </c>
      <c r="D274" s="35"/>
      <c r="E274" s="17">
        <f>SUM(E275)</f>
        <v>9.0949470177292824E-12</v>
      </c>
      <c r="F274" s="17">
        <f t="shared" ref="F274:G274" si="109">SUM(F275)</f>
        <v>0</v>
      </c>
      <c r="G274" s="17">
        <f t="shared" si="109"/>
        <v>0</v>
      </c>
    </row>
    <row r="275" spans="1:7" ht="30" hidden="1" x14ac:dyDescent="0.25">
      <c r="A275" s="34" t="s">
        <v>578</v>
      </c>
      <c r="B275" s="32" t="s">
        <v>248</v>
      </c>
      <c r="C275" s="32" t="s">
        <v>253</v>
      </c>
      <c r="D275" s="35">
        <v>400</v>
      </c>
      <c r="E275" s="17">
        <f>129456.8-121689.4-7767.4</f>
        <v>9.0949470177292824E-12</v>
      </c>
      <c r="F275" s="17">
        <f>4390.1+280.2-4670.3</f>
        <v>0</v>
      </c>
      <c r="G275" s="17">
        <f>19967+1274.5-21241.5</f>
        <v>0</v>
      </c>
    </row>
    <row r="276" spans="1:7" ht="30" hidden="1" x14ac:dyDescent="0.25">
      <c r="A276" s="13" t="s">
        <v>584</v>
      </c>
      <c r="B276" s="47" t="s">
        <v>248</v>
      </c>
      <c r="C276" s="47" t="s">
        <v>585</v>
      </c>
      <c r="D276" s="22"/>
      <c r="E276" s="17">
        <f>E277</f>
        <v>0</v>
      </c>
      <c r="F276" s="17">
        <f t="shared" ref="F276:G276" si="110">F277</f>
        <v>0</v>
      </c>
      <c r="G276" s="17">
        <f t="shared" si="110"/>
        <v>0</v>
      </c>
    </row>
    <row r="277" spans="1:7" ht="30" hidden="1" x14ac:dyDescent="0.25">
      <c r="A277" s="49" t="s">
        <v>578</v>
      </c>
      <c r="B277" s="47" t="s">
        <v>248</v>
      </c>
      <c r="C277" s="47" t="s">
        <v>585</v>
      </c>
      <c r="D277" s="22">
        <v>400</v>
      </c>
      <c r="E277" s="17">
        <f>23997.5+1531.7-1531.7-23997.5</f>
        <v>0</v>
      </c>
      <c r="F277" s="17">
        <v>0</v>
      </c>
      <c r="G277" s="17">
        <v>0</v>
      </c>
    </row>
    <row r="278" spans="1:7" x14ac:dyDescent="0.25">
      <c r="A278" s="42" t="s">
        <v>254</v>
      </c>
      <c r="B278" s="32" t="s">
        <v>248</v>
      </c>
      <c r="C278" s="32" t="s">
        <v>255</v>
      </c>
      <c r="D278" s="35"/>
      <c r="E278" s="17">
        <f>SUM(E279)+E281</f>
        <v>216566.50000000003</v>
      </c>
      <c r="F278" s="17">
        <f t="shared" ref="F278:G279" si="111">SUM(F279)</f>
        <v>0</v>
      </c>
      <c r="G278" s="17">
        <f t="shared" si="111"/>
        <v>0</v>
      </c>
    </row>
    <row r="279" spans="1:7" ht="75" x14ac:dyDescent="0.25">
      <c r="A279" s="43" t="s">
        <v>256</v>
      </c>
      <c r="B279" s="32" t="s">
        <v>248</v>
      </c>
      <c r="C279" s="32" t="s">
        <v>257</v>
      </c>
      <c r="D279" s="35"/>
      <c r="E279" s="17">
        <f>SUM(E280)</f>
        <v>211981.80000000002</v>
      </c>
      <c r="F279" s="17">
        <f t="shared" si="111"/>
        <v>0</v>
      </c>
      <c r="G279" s="17">
        <f t="shared" si="111"/>
        <v>0</v>
      </c>
    </row>
    <row r="280" spans="1:7" ht="30" x14ac:dyDescent="0.25">
      <c r="A280" s="34" t="s">
        <v>578</v>
      </c>
      <c r="B280" s="32" t="s">
        <v>248</v>
      </c>
      <c r="C280" s="32" t="s">
        <v>257</v>
      </c>
      <c r="D280" s="35">
        <v>400</v>
      </c>
      <c r="E280" s="17">
        <f>216566.1-4538.4-45.9</f>
        <v>211981.80000000002</v>
      </c>
      <c r="F280" s="17">
        <v>0</v>
      </c>
      <c r="G280" s="17">
        <v>0</v>
      </c>
    </row>
    <row r="281" spans="1:7" ht="90" x14ac:dyDescent="0.25">
      <c r="A281" s="160" t="s">
        <v>586</v>
      </c>
      <c r="B281" s="32" t="s">
        <v>248</v>
      </c>
      <c r="C281" s="32" t="s">
        <v>587</v>
      </c>
      <c r="D281" s="22"/>
      <c r="E281" s="17">
        <f>E282</f>
        <v>4584.7</v>
      </c>
      <c r="F281" s="17">
        <f t="shared" ref="F281:G281" si="112">F282</f>
        <v>0</v>
      </c>
      <c r="G281" s="17">
        <f t="shared" si="112"/>
        <v>0</v>
      </c>
    </row>
    <row r="282" spans="1:7" ht="30" x14ac:dyDescent="0.25">
      <c r="A282" s="49" t="s">
        <v>578</v>
      </c>
      <c r="B282" s="32" t="s">
        <v>248</v>
      </c>
      <c r="C282" s="32" t="s">
        <v>587</v>
      </c>
      <c r="D282" s="22">
        <v>400</v>
      </c>
      <c r="E282" s="17">
        <v>4584.7</v>
      </c>
      <c r="F282" s="17">
        <v>0</v>
      </c>
      <c r="G282" s="17">
        <v>0</v>
      </c>
    </row>
    <row r="283" spans="1:7" x14ac:dyDescent="0.25">
      <c r="A283" s="49" t="s">
        <v>634</v>
      </c>
      <c r="B283" s="32" t="s">
        <v>248</v>
      </c>
      <c r="C283" s="32" t="s">
        <v>635</v>
      </c>
      <c r="D283" s="22"/>
      <c r="E283" s="17">
        <f>E284+E286</f>
        <v>25529.200000000001</v>
      </c>
      <c r="F283" s="17">
        <f t="shared" ref="F283:G283" si="113">F284+F286</f>
        <v>4670.3</v>
      </c>
      <c r="G283" s="17">
        <f t="shared" si="113"/>
        <v>21241.5</v>
      </c>
    </row>
    <row r="284" spans="1:7" ht="31.5" x14ac:dyDescent="0.25">
      <c r="A284" s="166" t="s">
        <v>252</v>
      </c>
      <c r="B284" s="32" t="s">
        <v>248</v>
      </c>
      <c r="C284" s="32" t="s">
        <v>636</v>
      </c>
      <c r="D284" s="22"/>
      <c r="E284" s="17">
        <f>E285</f>
        <v>0</v>
      </c>
      <c r="F284" s="17">
        <f t="shared" ref="F284:G284" si="114">F285</f>
        <v>4670.3</v>
      </c>
      <c r="G284" s="17">
        <f t="shared" si="114"/>
        <v>21241.5</v>
      </c>
    </row>
    <row r="285" spans="1:7" ht="30" x14ac:dyDescent="0.25">
      <c r="A285" s="49" t="s">
        <v>578</v>
      </c>
      <c r="B285" s="32" t="s">
        <v>248</v>
      </c>
      <c r="C285" s="32" t="s">
        <v>636</v>
      </c>
      <c r="D285" s="22">
        <v>400</v>
      </c>
      <c r="E285" s="17">
        <v>0</v>
      </c>
      <c r="F285" s="17">
        <f>280.2+4390.1</f>
        <v>4670.3</v>
      </c>
      <c r="G285" s="17">
        <f>1274.5+19967</f>
        <v>21241.5</v>
      </c>
    </row>
    <row r="286" spans="1:7" ht="30" x14ac:dyDescent="0.25">
      <c r="A286" s="13" t="s">
        <v>584</v>
      </c>
      <c r="B286" s="47" t="s">
        <v>248</v>
      </c>
      <c r="C286" s="47" t="s">
        <v>637</v>
      </c>
      <c r="D286" s="22"/>
      <c r="E286" s="17">
        <f>E287</f>
        <v>25529.200000000001</v>
      </c>
      <c r="F286" s="17">
        <f t="shared" ref="F286:G286" si="115">F287</f>
        <v>0</v>
      </c>
      <c r="G286" s="17">
        <f t="shared" si="115"/>
        <v>0</v>
      </c>
    </row>
    <row r="287" spans="1:7" ht="30" x14ac:dyDescent="0.25">
      <c r="A287" s="49" t="s">
        <v>578</v>
      </c>
      <c r="B287" s="47" t="s">
        <v>248</v>
      </c>
      <c r="C287" s="47" t="s">
        <v>637</v>
      </c>
      <c r="D287" s="22">
        <v>400</v>
      </c>
      <c r="E287" s="17">
        <f>1531.7+23997.5</f>
        <v>25529.200000000001</v>
      </c>
      <c r="F287" s="17">
        <v>0</v>
      </c>
      <c r="G287" s="17">
        <v>0</v>
      </c>
    </row>
    <row r="288" spans="1:7" ht="30" x14ac:dyDescent="0.25">
      <c r="A288" s="49" t="s">
        <v>258</v>
      </c>
      <c r="B288" s="32" t="s">
        <v>248</v>
      </c>
      <c r="C288" s="32" t="s">
        <v>259</v>
      </c>
      <c r="D288" s="35"/>
      <c r="E288" s="17">
        <f>SUM(E289+E293+E295+E298+E300+E304+E306+E308+E310+E312+E316+E318+E320)+E291+E325+E322+E302+E314</f>
        <v>1384412.0999999996</v>
      </c>
      <c r="F288" s="17">
        <f t="shared" ref="F288:G288" si="116">SUM(F289+F293+F295+F298+F300+F304+F306+F308+F310+F312+F316+F318+F320)+F291+F325+F322+F302+F314</f>
        <v>788495</v>
      </c>
      <c r="G288" s="17">
        <f t="shared" si="116"/>
        <v>682694.6</v>
      </c>
    </row>
    <row r="289" spans="1:7" ht="30" hidden="1" x14ac:dyDescent="0.25">
      <c r="A289" s="43" t="s">
        <v>260</v>
      </c>
      <c r="B289" s="32" t="s">
        <v>248</v>
      </c>
      <c r="C289" s="32" t="s">
        <v>261</v>
      </c>
      <c r="D289" s="35"/>
      <c r="E289" s="17">
        <f>SUM(E290)</f>
        <v>0</v>
      </c>
      <c r="F289" s="17">
        <f t="shared" ref="F289:G289" si="117">SUM(F290)</f>
        <v>0</v>
      </c>
      <c r="G289" s="17">
        <f t="shared" si="117"/>
        <v>0</v>
      </c>
    </row>
    <row r="290" spans="1:7" ht="30" hidden="1" x14ac:dyDescent="0.25">
      <c r="A290" s="13" t="s">
        <v>31</v>
      </c>
      <c r="B290" s="32" t="s">
        <v>248</v>
      </c>
      <c r="C290" s="32" t="s">
        <v>261</v>
      </c>
      <c r="D290" s="35">
        <v>200</v>
      </c>
      <c r="E290" s="17">
        <f>2000-2000</f>
        <v>0</v>
      </c>
      <c r="F290" s="17">
        <v>0</v>
      </c>
      <c r="G290" s="17">
        <v>0</v>
      </c>
    </row>
    <row r="291" spans="1:7" ht="30" x14ac:dyDescent="0.25">
      <c r="A291" s="51" t="s">
        <v>262</v>
      </c>
      <c r="B291" s="32" t="s">
        <v>248</v>
      </c>
      <c r="C291" s="32" t="s">
        <v>263</v>
      </c>
      <c r="D291" s="35"/>
      <c r="E291" s="17">
        <f>SUM(E292)</f>
        <v>2000</v>
      </c>
      <c r="F291" s="17">
        <f t="shared" ref="F291:G291" si="118">SUM(F292)</f>
        <v>2000</v>
      </c>
      <c r="G291" s="17">
        <f t="shared" si="118"/>
        <v>2000</v>
      </c>
    </row>
    <row r="292" spans="1:7" ht="30" x14ac:dyDescent="0.25">
      <c r="A292" s="52" t="s">
        <v>31</v>
      </c>
      <c r="B292" s="32" t="s">
        <v>248</v>
      </c>
      <c r="C292" s="32" t="s">
        <v>263</v>
      </c>
      <c r="D292" s="35">
        <v>200</v>
      </c>
      <c r="E292" s="17">
        <v>2000</v>
      </c>
      <c r="F292" s="17">
        <v>2000</v>
      </c>
      <c r="G292" s="17">
        <v>2000</v>
      </c>
    </row>
    <row r="293" spans="1:7" ht="45" x14ac:dyDescent="0.25">
      <c r="A293" s="49" t="s">
        <v>623</v>
      </c>
      <c r="B293" s="47" t="s">
        <v>248</v>
      </c>
      <c r="C293" s="47" t="s">
        <v>624</v>
      </c>
      <c r="D293" s="35"/>
      <c r="E293" s="17">
        <f>SUM(E294)</f>
        <v>43193.599999999999</v>
      </c>
      <c r="F293" s="17">
        <f t="shared" ref="F293:G293" si="119">SUM(F294)</f>
        <v>25000</v>
      </c>
      <c r="G293" s="17">
        <f t="shared" si="119"/>
        <v>0</v>
      </c>
    </row>
    <row r="294" spans="1:7" ht="27" customHeight="1" x14ac:dyDescent="0.25">
      <c r="A294" s="13" t="s">
        <v>31</v>
      </c>
      <c r="B294" s="47" t="s">
        <v>248</v>
      </c>
      <c r="C294" s="47" t="s">
        <v>624</v>
      </c>
      <c r="D294" s="35">
        <v>200</v>
      </c>
      <c r="E294" s="17">
        <f>50000-408.4-6398</f>
        <v>43193.599999999999</v>
      </c>
      <c r="F294" s="17">
        <v>25000</v>
      </c>
      <c r="G294" s="17">
        <v>0</v>
      </c>
    </row>
    <row r="295" spans="1:7" ht="21" customHeight="1" x14ac:dyDescent="0.25">
      <c r="A295" s="161" t="s">
        <v>622</v>
      </c>
      <c r="B295" s="47" t="s">
        <v>248</v>
      </c>
      <c r="C295" s="47" t="s">
        <v>264</v>
      </c>
      <c r="D295" s="35"/>
      <c r="E295" s="17">
        <f>SUM(E296:E297)</f>
        <v>969216.49999999988</v>
      </c>
      <c r="F295" s="17">
        <f t="shared" ref="F295:G295" si="120">SUM(F296:F297)</f>
        <v>405932.1</v>
      </c>
      <c r="G295" s="17">
        <f t="shared" si="120"/>
        <v>472000</v>
      </c>
    </row>
    <row r="296" spans="1:7" ht="30" x14ac:dyDescent="0.25">
      <c r="A296" s="13" t="s">
        <v>31</v>
      </c>
      <c r="B296" s="47" t="s">
        <v>248</v>
      </c>
      <c r="C296" s="47" t="s">
        <v>264</v>
      </c>
      <c r="D296" s="35">
        <v>200</v>
      </c>
      <c r="E296" s="17">
        <f>552892.2+60626.2-78552.2+24511.2+3700+330718.6</f>
        <v>893895.99999999988</v>
      </c>
      <c r="F296" s="17">
        <v>405932.1</v>
      </c>
      <c r="G296" s="17">
        <v>472000</v>
      </c>
    </row>
    <row r="297" spans="1:7" ht="30" x14ac:dyDescent="0.25">
      <c r="A297" s="34" t="s">
        <v>578</v>
      </c>
      <c r="B297" s="47" t="s">
        <v>248</v>
      </c>
      <c r="C297" s="47" t="s">
        <v>264</v>
      </c>
      <c r="D297" s="35">
        <v>400</v>
      </c>
      <c r="E297" s="17">
        <f>79020.5-3700</f>
        <v>75320.5</v>
      </c>
      <c r="F297" s="17">
        <v>0</v>
      </c>
      <c r="G297" s="17">
        <v>0</v>
      </c>
    </row>
    <row r="298" spans="1:7" ht="30" x14ac:dyDescent="0.25">
      <c r="A298" s="42" t="s">
        <v>265</v>
      </c>
      <c r="B298" s="47" t="s">
        <v>248</v>
      </c>
      <c r="C298" s="47" t="s">
        <v>266</v>
      </c>
      <c r="D298" s="35"/>
      <c r="E298" s="17">
        <f>SUM(E299)</f>
        <v>13829.8</v>
      </c>
      <c r="F298" s="17">
        <f t="shared" ref="F298:G298" si="121">SUM(F299)</f>
        <v>0</v>
      </c>
      <c r="G298" s="17">
        <f t="shared" si="121"/>
        <v>0</v>
      </c>
    </row>
    <row r="299" spans="1:7" ht="30" x14ac:dyDescent="0.25">
      <c r="A299" s="34" t="s">
        <v>578</v>
      </c>
      <c r="B299" s="47" t="s">
        <v>248</v>
      </c>
      <c r="C299" s="47" t="s">
        <v>266</v>
      </c>
      <c r="D299" s="35">
        <v>400</v>
      </c>
      <c r="E299" s="17">
        <v>13829.8</v>
      </c>
      <c r="F299" s="17">
        <v>0</v>
      </c>
      <c r="G299" s="17">
        <v>0</v>
      </c>
    </row>
    <row r="300" spans="1:7" x14ac:dyDescent="0.25">
      <c r="A300" s="49" t="s">
        <v>267</v>
      </c>
      <c r="B300" s="32" t="s">
        <v>248</v>
      </c>
      <c r="C300" s="32" t="s">
        <v>268</v>
      </c>
      <c r="D300" s="35"/>
      <c r="E300" s="17">
        <f>SUM(E301)</f>
        <v>1620.7</v>
      </c>
      <c r="F300" s="17">
        <f t="shared" ref="F300:G300" si="122">SUM(F301)</f>
        <v>0</v>
      </c>
      <c r="G300" s="17">
        <f t="shared" si="122"/>
        <v>0</v>
      </c>
    </row>
    <row r="301" spans="1:7" ht="30" x14ac:dyDescent="0.25">
      <c r="A301" s="34" t="s">
        <v>578</v>
      </c>
      <c r="B301" s="32" t="s">
        <v>248</v>
      </c>
      <c r="C301" s="32" t="s">
        <v>268</v>
      </c>
      <c r="D301" s="35">
        <v>400</v>
      </c>
      <c r="E301" s="17">
        <v>1620.7</v>
      </c>
      <c r="F301" s="17">
        <v>0</v>
      </c>
      <c r="G301" s="17">
        <v>0</v>
      </c>
    </row>
    <row r="302" spans="1:7" ht="30" x14ac:dyDescent="0.25">
      <c r="A302" s="34" t="s">
        <v>604</v>
      </c>
      <c r="B302" s="32" t="s">
        <v>248</v>
      </c>
      <c r="C302" s="32" t="s">
        <v>605</v>
      </c>
      <c r="D302" s="35"/>
      <c r="E302" s="17">
        <f>E303</f>
        <v>24.2</v>
      </c>
      <c r="F302" s="17">
        <f t="shared" ref="F302:G302" si="123">F303</f>
        <v>0</v>
      </c>
      <c r="G302" s="17">
        <f t="shared" si="123"/>
        <v>0</v>
      </c>
    </row>
    <row r="303" spans="1:7" ht="30" x14ac:dyDescent="0.25">
      <c r="A303" s="148" t="s">
        <v>578</v>
      </c>
      <c r="B303" s="32" t="s">
        <v>248</v>
      </c>
      <c r="C303" s="32" t="s">
        <v>605</v>
      </c>
      <c r="D303" s="35">
        <v>400</v>
      </c>
      <c r="E303" s="17">
        <v>24.2</v>
      </c>
      <c r="F303" s="17">
        <v>0</v>
      </c>
      <c r="G303" s="17">
        <v>0</v>
      </c>
    </row>
    <row r="304" spans="1:7" ht="30" x14ac:dyDescent="0.25">
      <c r="A304" s="53" t="s">
        <v>269</v>
      </c>
      <c r="B304" s="32" t="s">
        <v>248</v>
      </c>
      <c r="C304" s="32" t="s">
        <v>270</v>
      </c>
      <c r="D304" s="35"/>
      <c r="E304" s="17">
        <f>SUM(E305)</f>
        <v>25</v>
      </c>
      <c r="F304" s="17">
        <f t="shared" ref="F304:G304" si="124">SUM(F305)</f>
        <v>0</v>
      </c>
      <c r="G304" s="17">
        <f t="shared" si="124"/>
        <v>0</v>
      </c>
    </row>
    <row r="305" spans="1:7" ht="30" x14ac:dyDescent="0.25">
      <c r="A305" s="34" t="s">
        <v>578</v>
      </c>
      <c r="B305" s="32" t="s">
        <v>248</v>
      </c>
      <c r="C305" s="32" t="s">
        <v>270</v>
      </c>
      <c r="D305" s="35">
        <v>400</v>
      </c>
      <c r="E305" s="17">
        <v>25</v>
      </c>
      <c r="F305" s="17">
        <v>0</v>
      </c>
      <c r="G305" s="17">
        <v>0</v>
      </c>
    </row>
    <row r="306" spans="1:7" ht="30" x14ac:dyDescent="0.25">
      <c r="A306" s="54" t="s">
        <v>271</v>
      </c>
      <c r="B306" s="47" t="s">
        <v>248</v>
      </c>
      <c r="C306" s="47" t="s">
        <v>272</v>
      </c>
      <c r="D306" s="48"/>
      <c r="E306" s="17">
        <f>SUM(E307)</f>
        <v>10000</v>
      </c>
      <c r="F306" s="17">
        <f t="shared" ref="F306:G306" si="125">SUM(F307)</f>
        <v>15000</v>
      </c>
      <c r="G306" s="17">
        <f t="shared" si="125"/>
        <v>0</v>
      </c>
    </row>
    <row r="307" spans="1:7" ht="30" x14ac:dyDescent="0.25">
      <c r="A307" s="34" t="s">
        <v>578</v>
      </c>
      <c r="B307" s="47" t="s">
        <v>248</v>
      </c>
      <c r="C307" s="47" t="s">
        <v>272</v>
      </c>
      <c r="D307" s="48">
        <v>400</v>
      </c>
      <c r="E307" s="17">
        <v>10000</v>
      </c>
      <c r="F307" s="17">
        <v>15000</v>
      </c>
      <c r="G307" s="17">
        <v>0</v>
      </c>
    </row>
    <row r="308" spans="1:7" ht="30" x14ac:dyDescent="0.25">
      <c r="A308" s="55" t="s">
        <v>273</v>
      </c>
      <c r="B308" s="47" t="s">
        <v>248</v>
      </c>
      <c r="C308" s="47" t="s">
        <v>274</v>
      </c>
      <c r="D308" s="48"/>
      <c r="E308" s="17">
        <f>SUM(E309)</f>
        <v>14535.2</v>
      </c>
      <c r="F308" s="17">
        <f t="shared" ref="F308:G308" si="126">SUM(F309)</f>
        <v>35000</v>
      </c>
      <c r="G308" s="17">
        <f t="shared" si="126"/>
        <v>0</v>
      </c>
    </row>
    <row r="309" spans="1:7" ht="30" x14ac:dyDescent="0.25">
      <c r="A309" s="34" t="s">
        <v>578</v>
      </c>
      <c r="B309" s="47" t="s">
        <v>248</v>
      </c>
      <c r="C309" s="47" t="s">
        <v>274</v>
      </c>
      <c r="D309" s="48">
        <v>400</v>
      </c>
      <c r="E309" s="17">
        <f>10000+4535.2</f>
        <v>14535.2</v>
      </c>
      <c r="F309" s="17">
        <v>35000</v>
      </c>
      <c r="G309" s="17">
        <v>0</v>
      </c>
    </row>
    <row r="310" spans="1:7" ht="30" x14ac:dyDescent="0.25">
      <c r="A310" s="54" t="s">
        <v>275</v>
      </c>
      <c r="B310" s="47" t="s">
        <v>248</v>
      </c>
      <c r="C310" s="47" t="s">
        <v>276</v>
      </c>
      <c r="D310" s="48"/>
      <c r="E310" s="17">
        <f>SUM(E311)</f>
        <v>2746</v>
      </c>
      <c r="F310" s="17">
        <f t="shared" ref="F310:G310" si="127">SUM(F311)</f>
        <v>0</v>
      </c>
      <c r="G310" s="17">
        <f t="shared" si="127"/>
        <v>0</v>
      </c>
    </row>
    <row r="311" spans="1:7" ht="30" x14ac:dyDescent="0.25">
      <c r="A311" s="34" t="s">
        <v>578</v>
      </c>
      <c r="B311" s="47" t="s">
        <v>248</v>
      </c>
      <c r="C311" s="47" t="s">
        <v>276</v>
      </c>
      <c r="D311" s="48">
        <v>400</v>
      </c>
      <c r="E311" s="17">
        <v>2746</v>
      </c>
      <c r="F311" s="17">
        <v>0</v>
      </c>
      <c r="G311" s="17">
        <v>0</v>
      </c>
    </row>
    <row r="312" spans="1:7" x14ac:dyDescent="0.25">
      <c r="A312" s="43" t="s">
        <v>277</v>
      </c>
      <c r="B312" s="47" t="s">
        <v>248</v>
      </c>
      <c r="C312" s="47" t="s">
        <v>278</v>
      </c>
      <c r="D312" s="48"/>
      <c r="E312" s="17">
        <f>SUM(E313)</f>
        <v>454.9</v>
      </c>
      <c r="F312" s="17">
        <f t="shared" ref="F312:G312" si="128">SUM(F313)</f>
        <v>0</v>
      </c>
      <c r="G312" s="17">
        <f t="shared" si="128"/>
        <v>0</v>
      </c>
    </row>
    <row r="313" spans="1:7" ht="30" x14ac:dyDescent="0.25">
      <c r="A313" s="34" t="s">
        <v>578</v>
      </c>
      <c r="B313" s="47" t="s">
        <v>248</v>
      </c>
      <c r="C313" s="47" t="s">
        <v>278</v>
      </c>
      <c r="D313" s="48">
        <v>400</v>
      </c>
      <c r="E313" s="17">
        <v>454.9</v>
      </c>
      <c r="F313" s="17">
        <v>0</v>
      </c>
      <c r="G313" s="17">
        <v>0</v>
      </c>
    </row>
    <row r="314" spans="1:7" ht="45" x14ac:dyDescent="0.25">
      <c r="A314" s="43" t="s">
        <v>613</v>
      </c>
      <c r="B314" s="47" t="s">
        <v>248</v>
      </c>
      <c r="C314" s="149" t="s">
        <v>614</v>
      </c>
      <c r="D314" s="48"/>
      <c r="E314" s="17">
        <f>E315</f>
        <v>8000</v>
      </c>
      <c r="F314" s="17">
        <f t="shared" ref="F314:G314" si="129">F315</f>
        <v>0</v>
      </c>
      <c r="G314" s="17">
        <f t="shared" si="129"/>
        <v>0</v>
      </c>
    </row>
    <row r="315" spans="1:7" ht="30" x14ac:dyDescent="0.25">
      <c r="A315" s="148" t="s">
        <v>578</v>
      </c>
      <c r="B315" s="47" t="s">
        <v>248</v>
      </c>
      <c r="C315" s="149" t="s">
        <v>614</v>
      </c>
      <c r="D315" s="48">
        <v>400</v>
      </c>
      <c r="E315" s="17">
        <v>8000</v>
      </c>
      <c r="F315" s="17"/>
      <c r="G315" s="17"/>
    </row>
    <row r="316" spans="1:7" ht="30" x14ac:dyDescent="0.25">
      <c r="A316" s="13" t="s">
        <v>279</v>
      </c>
      <c r="B316" s="47" t="s">
        <v>248</v>
      </c>
      <c r="C316" s="47" t="s">
        <v>280</v>
      </c>
      <c r="D316" s="48"/>
      <c r="E316" s="17">
        <f>SUM(E317)</f>
        <v>2000</v>
      </c>
      <c r="F316" s="17">
        <f t="shared" ref="F316:G316" si="130">SUM(F317)</f>
        <v>0</v>
      </c>
      <c r="G316" s="17">
        <f t="shared" si="130"/>
        <v>0</v>
      </c>
    </row>
    <row r="317" spans="1:7" ht="30" x14ac:dyDescent="0.25">
      <c r="A317" s="34" t="s">
        <v>578</v>
      </c>
      <c r="B317" s="47" t="s">
        <v>248</v>
      </c>
      <c r="C317" s="47" t="s">
        <v>280</v>
      </c>
      <c r="D317" s="48">
        <v>400</v>
      </c>
      <c r="E317" s="17">
        <v>2000</v>
      </c>
      <c r="F317" s="17">
        <v>0</v>
      </c>
      <c r="G317" s="17">
        <v>0</v>
      </c>
    </row>
    <row r="318" spans="1:7" x14ac:dyDescent="0.25">
      <c r="A318" s="54" t="s">
        <v>281</v>
      </c>
      <c r="B318" s="47" t="s">
        <v>248</v>
      </c>
      <c r="C318" s="47" t="s">
        <v>282</v>
      </c>
      <c r="D318" s="48"/>
      <c r="E318" s="17">
        <f>SUM(E319)</f>
        <v>0</v>
      </c>
      <c r="F318" s="17">
        <f t="shared" ref="F318:G318" si="131">SUM(F319)</f>
        <v>36573.9</v>
      </c>
      <c r="G318" s="17">
        <f t="shared" si="131"/>
        <v>0</v>
      </c>
    </row>
    <row r="319" spans="1:7" ht="30" x14ac:dyDescent="0.25">
      <c r="A319" s="13" t="s">
        <v>31</v>
      </c>
      <c r="B319" s="47" t="s">
        <v>248</v>
      </c>
      <c r="C319" s="47" t="s">
        <v>282</v>
      </c>
      <c r="D319" s="48">
        <v>200</v>
      </c>
      <c r="E319" s="17">
        <v>0</v>
      </c>
      <c r="F319" s="17">
        <v>36573.9</v>
      </c>
      <c r="G319" s="17">
        <v>0</v>
      </c>
    </row>
    <row r="320" spans="1:7" ht="30" x14ac:dyDescent="0.25">
      <c r="A320" s="13" t="s">
        <v>283</v>
      </c>
      <c r="B320" s="47" t="s">
        <v>248</v>
      </c>
      <c r="C320" s="47" t="s">
        <v>284</v>
      </c>
      <c r="D320" s="48"/>
      <c r="E320" s="17">
        <f>SUM(E321)</f>
        <v>4000</v>
      </c>
      <c r="F320" s="17">
        <f t="shared" ref="F320:G320" si="132">SUM(F321)</f>
        <v>0</v>
      </c>
      <c r="G320" s="17">
        <f t="shared" si="132"/>
        <v>0</v>
      </c>
    </row>
    <row r="321" spans="1:7" ht="30" x14ac:dyDescent="0.25">
      <c r="A321" s="13" t="s">
        <v>31</v>
      </c>
      <c r="B321" s="47" t="s">
        <v>248</v>
      </c>
      <c r="C321" s="47" t="s">
        <v>284</v>
      </c>
      <c r="D321" s="48">
        <v>200</v>
      </c>
      <c r="E321" s="17">
        <v>4000</v>
      </c>
      <c r="F321" s="17">
        <v>0</v>
      </c>
      <c r="G321" s="17">
        <v>0</v>
      </c>
    </row>
    <row r="322" spans="1:7" ht="90" x14ac:dyDescent="0.25">
      <c r="A322" s="49" t="s">
        <v>594</v>
      </c>
      <c r="B322" s="32" t="s">
        <v>248</v>
      </c>
      <c r="C322" s="32" t="s">
        <v>595</v>
      </c>
      <c r="D322" s="22"/>
      <c r="E322" s="17">
        <f>E324+E323</f>
        <v>139260</v>
      </c>
      <c r="F322" s="17">
        <f t="shared" ref="F322:G322" si="133">F324+F323</f>
        <v>95482.8</v>
      </c>
      <c r="G322" s="17">
        <f t="shared" si="133"/>
        <v>35188.400000000001</v>
      </c>
    </row>
    <row r="323" spans="1:7" ht="30" x14ac:dyDescent="0.25">
      <c r="A323" s="13" t="s">
        <v>31</v>
      </c>
      <c r="B323" s="32" t="s">
        <v>248</v>
      </c>
      <c r="C323" s="32" t="s">
        <v>595</v>
      </c>
      <c r="D323" s="22">
        <v>200</v>
      </c>
      <c r="E323" s="17">
        <v>44.9</v>
      </c>
      <c r="F323" s="17">
        <v>44.9</v>
      </c>
      <c r="G323" s="17">
        <v>44.9</v>
      </c>
    </row>
    <row r="324" spans="1:7" x14ac:dyDescent="0.25">
      <c r="A324" s="34" t="s">
        <v>39</v>
      </c>
      <c r="B324" s="32" t="s">
        <v>248</v>
      </c>
      <c r="C324" s="32" t="s">
        <v>595</v>
      </c>
      <c r="D324" s="22">
        <v>800</v>
      </c>
      <c r="E324" s="17">
        <f>139260-44.9</f>
        <v>139215.1</v>
      </c>
      <c r="F324" s="17">
        <f>95482.8-44.9</f>
        <v>95437.900000000009</v>
      </c>
      <c r="G324" s="17">
        <f>35188.4-44.9</f>
        <v>35143.5</v>
      </c>
    </row>
    <row r="325" spans="1:7" ht="30" x14ac:dyDescent="0.25">
      <c r="A325" s="34" t="s">
        <v>285</v>
      </c>
      <c r="B325" s="32" t="s">
        <v>248</v>
      </c>
      <c r="C325" s="32" t="s">
        <v>286</v>
      </c>
      <c r="D325" s="35"/>
      <c r="E325" s="17">
        <f>SUM(E326:E327)</f>
        <v>173506.19999999998</v>
      </c>
      <c r="F325" s="17">
        <f t="shared" ref="F325:G325" si="134">SUM(F326:F327)</f>
        <v>173506.19999999998</v>
      </c>
      <c r="G325" s="17">
        <f t="shared" si="134"/>
        <v>173506.19999999998</v>
      </c>
    </row>
    <row r="326" spans="1:7" ht="30" x14ac:dyDescent="0.25">
      <c r="A326" s="13" t="s">
        <v>31</v>
      </c>
      <c r="B326" s="32" t="s">
        <v>248</v>
      </c>
      <c r="C326" s="32" t="s">
        <v>286</v>
      </c>
      <c r="D326" s="35">
        <v>200</v>
      </c>
      <c r="E326" s="17">
        <v>44.8</v>
      </c>
      <c r="F326" s="17">
        <v>44.8</v>
      </c>
      <c r="G326" s="17">
        <v>44.8</v>
      </c>
    </row>
    <row r="327" spans="1:7" x14ac:dyDescent="0.25">
      <c r="A327" s="34" t="s">
        <v>39</v>
      </c>
      <c r="B327" s="32" t="s">
        <v>248</v>
      </c>
      <c r="C327" s="32" t="s">
        <v>286</v>
      </c>
      <c r="D327" s="35">
        <v>800</v>
      </c>
      <c r="E327" s="17">
        <v>173461.4</v>
      </c>
      <c r="F327" s="17">
        <v>173461.4</v>
      </c>
      <c r="G327" s="17">
        <v>173461.4</v>
      </c>
    </row>
    <row r="328" spans="1:7" ht="30" x14ac:dyDescent="0.25">
      <c r="A328" s="49" t="s">
        <v>228</v>
      </c>
      <c r="B328" s="32" t="s">
        <v>248</v>
      </c>
      <c r="C328" s="32" t="s">
        <v>229</v>
      </c>
      <c r="D328" s="35"/>
      <c r="E328" s="17">
        <f>SUM(E329)</f>
        <v>8859.6</v>
      </c>
      <c r="F328" s="17">
        <f t="shared" ref="F328:G329" si="135">SUM(F329)</f>
        <v>5110.1000000000004</v>
      </c>
      <c r="G328" s="17">
        <f t="shared" si="135"/>
        <v>5110.1000000000004</v>
      </c>
    </row>
    <row r="329" spans="1:7" ht="31.5" x14ac:dyDescent="0.25">
      <c r="A329" s="145" t="s">
        <v>287</v>
      </c>
      <c r="B329" s="32" t="s">
        <v>248</v>
      </c>
      <c r="C329" s="32" t="s">
        <v>288</v>
      </c>
      <c r="D329" s="35"/>
      <c r="E329" s="17">
        <f>SUM(E330)</f>
        <v>8859.6</v>
      </c>
      <c r="F329" s="17">
        <f t="shared" si="135"/>
        <v>5110.1000000000004</v>
      </c>
      <c r="G329" s="17">
        <f t="shared" si="135"/>
        <v>5110.1000000000004</v>
      </c>
    </row>
    <row r="330" spans="1:7" x14ac:dyDescent="0.25">
      <c r="A330" s="34" t="s">
        <v>39</v>
      </c>
      <c r="B330" s="32" t="s">
        <v>248</v>
      </c>
      <c r="C330" s="32" t="s">
        <v>288</v>
      </c>
      <c r="D330" s="35">
        <v>800</v>
      </c>
      <c r="E330" s="17">
        <v>8859.6</v>
      </c>
      <c r="F330" s="17">
        <v>5110.1000000000004</v>
      </c>
      <c r="G330" s="17">
        <v>5110.1000000000004</v>
      </c>
    </row>
    <row r="331" spans="1:7" ht="45" x14ac:dyDescent="0.25">
      <c r="A331" s="43" t="s">
        <v>232</v>
      </c>
      <c r="B331" s="32" t="s">
        <v>248</v>
      </c>
      <c r="C331" s="32" t="s">
        <v>233</v>
      </c>
      <c r="D331" s="35"/>
      <c r="E331" s="17">
        <f>SUM(E332)</f>
        <v>3827.4</v>
      </c>
      <c r="F331" s="17">
        <f t="shared" ref="F331:G332" si="136">SUM(F332)</f>
        <v>1019.6</v>
      </c>
      <c r="G331" s="17">
        <f t="shared" si="136"/>
        <v>0</v>
      </c>
    </row>
    <row r="332" spans="1:7" ht="30" x14ac:dyDescent="0.25">
      <c r="A332" s="13" t="s">
        <v>289</v>
      </c>
      <c r="B332" s="32" t="s">
        <v>248</v>
      </c>
      <c r="C332" s="32" t="s">
        <v>290</v>
      </c>
      <c r="D332" s="35"/>
      <c r="E332" s="17">
        <f>SUM(E333)</f>
        <v>3827.4</v>
      </c>
      <c r="F332" s="17">
        <f t="shared" si="136"/>
        <v>1019.6</v>
      </c>
      <c r="G332" s="17">
        <f t="shared" si="136"/>
        <v>0</v>
      </c>
    </row>
    <row r="333" spans="1:7" ht="33" customHeight="1" x14ac:dyDescent="0.25">
      <c r="A333" s="13" t="s">
        <v>31</v>
      </c>
      <c r="B333" s="32" t="s">
        <v>248</v>
      </c>
      <c r="C333" s="32" t="s">
        <v>290</v>
      </c>
      <c r="D333" s="35">
        <v>200</v>
      </c>
      <c r="E333" s="17">
        <f>478.1+3148.4+200.9</f>
        <v>3827.4</v>
      </c>
      <c r="F333" s="17">
        <f>127.3+838.7+53.6</f>
        <v>1019.6</v>
      </c>
      <c r="G333" s="17">
        <v>0</v>
      </c>
    </row>
    <row r="334" spans="1:7" s="7" customFormat="1" x14ac:dyDescent="0.25">
      <c r="A334" s="38" t="s">
        <v>291</v>
      </c>
      <c r="B334" s="39" t="s">
        <v>292</v>
      </c>
      <c r="C334" s="39"/>
      <c r="D334" s="40"/>
      <c r="E334" s="12">
        <f>SUM(E335)+E353</f>
        <v>607308.80000000005</v>
      </c>
      <c r="F334" s="12">
        <f t="shared" ref="F334:G334" si="137">SUM(F335)+F353</f>
        <v>286276.09999999998</v>
      </c>
      <c r="G334" s="12">
        <f t="shared" si="137"/>
        <v>285886.40000000002</v>
      </c>
    </row>
    <row r="335" spans="1:7" ht="48.75" customHeight="1" x14ac:dyDescent="0.25">
      <c r="A335" s="31" t="s">
        <v>75</v>
      </c>
      <c r="B335" s="32" t="s">
        <v>292</v>
      </c>
      <c r="C335" s="32" t="s">
        <v>76</v>
      </c>
      <c r="D335" s="35"/>
      <c r="E335" s="17">
        <f>SUM(E336)</f>
        <v>475203.1</v>
      </c>
      <c r="F335" s="17">
        <f t="shared" ref="F335:G335" si="138">SUM(F336)</f>
        <v>180601.60000000001</v>
      </c>
      <c r="G335" s="17">
        <f t="shared" si="138"/>
        <v>180601.60000000001</v>
      </c>
    </row>
    <row r="336" spans="1:7" x14ac:dyDescent="0.25">
      <c r="A336" s="31" t="s">
        <v>293</v>
      </c>
      <c r="B336" s="32" t="s">
        <v>292</v>
      </c>
      <c r="C336" s="32" t="s">
        <v>294</v>
      </c>
      <c r="D336" s="35"/>
      <c r="E336" s="17">
        <f>SUM(E337)+E350</f>
        <v>475203.1</v>
      </c>
      <c r="F336" s="17">
        <f t="shared" ref="F336:G336" si="139">SUM(F337)+F350</f>
        <v>180601.60000000001</v>
      </c>
      <c r="G336" s="17">
        <f t="shared" si="139"/>
        <v>180601.60000000001</v>
      </c>
    </row>
    <row r="337" spans="1:9" ht="30" x14ac:dyDescent="0.25">
      <c r="A337" s="31" t="s">
        <v>295</v>
      </c>
      <c r="B337" s="32" t="s">
        <v>292</v>
      </c>
      <c r="C337" s="32" t="s">
        <v>296</v>
      </c>
      <c r="D337" s="35"/>
      <c r="E337" s="17">
        <f>SUM(E338+E340+E342+E344+E346+E348)</f>
        <v>244669.09999999998</v>
      </c>
      <c r="F337" s="17">
        <f t="shared" ref="F337:G337" si="140">SUM(F338+F340+F342+F344+F346+F348)</f>
        <v>180601.60000000001</v>
      </c>
      <c r="G337" s="17">
        <f t="shared" si="140"/>
        <v>180601.60000000001</v>
      </c>
    </row>
    <row r="338" spans="1:9" ht="75" x14ac:dyDescent="0.25">
      <c r="A338" s="34" t="s">
        <v>297</v>
      </c>
      <c r="B338" s="32" t="s">
        <v>292</v>
      </c>
      <c r="C338" s="32" t="s">
        <v>298</v>
      </c>
      <c r="D338" s="35"/>
      <c r="E338" s="17">
        <f>SUM(E339)</f>
        <v>18899.999999999996</v>
      </c>
      <c r="F338" s="17">
        <f t="shared" ref="F338:G338" si="141">SUM(F339)</f>
        <v>7935</v>
      </c>
      <c r="G338" s="17">
        <f t="shared" si="141"/>
        <v>7935</v>
      </c>
      <c r="I338" s="56"/>
    </row>
    <row r="339" spans="1:9" ht="30" x14ac:dyDescent="0.25">
      <c r="A339" s="13" t="s">
        <v>31</v>
      </c>
      <c r="B339" s="32" t="s">
        <v>292</v>
      </c>
      <c r="C339" s="32" t="s">
        <v>298</v>
      </c>
      <c r="D339" s="35">
        <v>200</v>
      </c>
      <c r="E339" s="17">
        <f>21000-700+18659.2-1400-18659.2</f>
        <v>18899.999999999996</v>
      </c>
      <c r="F339" s="17">
        <v>7935</v>
      </c>
      <c r="G339" s="17">
        <v>7935</v>
      </c>
    </row>
    <row r="340" spans="1:9" x14ac:dyDescent="0.25">
      <c r="A340" s="49" t="s">
        <v>299</v>
      </c>
      <c r="B340" s="32" t="s">
        <v>292</v>
      </c>
      <c r="C340" s="32" t="s">
        <v>300</v>
      </c>
      <c r="D340" s="35"/>
      <c r="E340" s="17">
        <f>SUM(E341)</f>
        <v>83504.3</v>
      </c>
      <c r="F340" s="17">
        <f t="shared" ref="F340:G340" si="142">SUM(F341)</f>
        <v>80801.2</v>
      </c>
      <c r="G340" s="17">
        <f t="shared" si="142"/>
        <v>80801.2</v>
      </c>
    </row>
    <row r="341" spans="1:9" ht="30" x14ac:dyDescent="0.25">
      <c r="A341" s="13" t="s">
        <v>31</v>
      </c>
      <c r="B341" s="32" t="s">
        <v>292</v>
      </c>
      <c r="C341" s="32" t="s">
        <v>300</v>
      </c>
      <c r="D341" s="35">
        <v>200</v>
      </c>
      <c r="E341" s="17">
        <f>80801.2+2703.1</f>
        <v>83504.3</v>
      </c>
      <c r="F341" s="17">
        <v>80801.2</v>
      </c>
      <c r="G341" s="17">
        <v>80801.2</v>
      </c>
    </row>
    <row r="342" spans="1:9" x14ac:dyDescent="0.25">
      <c r="A342" s="31" t="s">
        <v>301</v>
      </c>
      <c r="B342" s="32" t="s">
        <v>292</v>
      </c>
      <c r="C342" s="32" t="s">
        <v>302</v>
      </c>
      <c r="D342" s="35"/>
      <c r="E342" s="17">
        <f>SUM(E343)</f>
        <v>12060</v>
      </c>
      <c r="F342" s="17">
        <f t="shared" ref="F342:G342" si="143">SUM(F343)</f>
        <v>15800</v>
      </c>
      <c r="G342" s="17">
        <f t="shared" si="143"/>
        <v>15800</v>
      </c>
    </row>
    <row r="343" spans="1:9" ht="30" x14ac:dyDescent="0.25">
      <c r="A343" s="13" t="s">
        <v>31</v>
      </c>
      <c r="B343" s="32" t="s">
        <v>292</v>
      </c>
      <c r="C343" s="32" t="s">
        <v>302</v>
      </c>
      <c r="D343" s="35">
        <v>200</v>
      </c>
      <c r="E343" s="17">
        <f>13042.8-1982.8+1000</f>
        <v>12060</v>
      </c>
      <c r="F343" s="17">
        <v>15800</v>
      </c>
      <c r="G343" s="17">
        <v>15800</v>
      </c>
    </row>
    <row r="344" spans="1:9" ht="75" x14ac:dyDescent="0.25">
      <c r="A344" s="43" t="s">
        <v>303</v>
      </c>
      <c r="B344" s="32" t="s">
        <v>292</v>
      </c>
      <c r="C344" s="32" t="s">
        <v>304</v>
      </c>
      <c r="D344" s="35"/>
      <c r="E344" s="17">
        <f>SUM(E345)</f>
        <v>67603</v>
      </c>
      <c r="F344" s="17">
        <f t="shared" ref="F344:G344" si="144">SUM(F345)</f>
        <v>38285.5</v>
      </c>
      <c r="G344" s="17">
        <f t="shared" si="144"/>
        <v>38285.5</v>
      </c>
    </row>
    <row r="345" spans="1:9" x14ac:dyDescent="0.25">
      <c r="A345" s="34" t="s">
        <v>39</v>
      </c>
      <c r="B345" s="32" t="s">
        <v>292</v>
      </c>
      <c r="C345" s="32" t="s">
        <v>304</v>
      </c>
      <c r="D345" s="35">
        <v>800</v>
      </c>
      <c r="E345" s="17">
        <f>62603+5000</f>
        <v>67603</v>
      </c>
      <c r="F345" s="17">
        <v>38285.5</v>
      </c>
      <c r="G345" s="17">
        <v>38285.5</v>
      </c>
    </row>
    <row r="346" spans="1:9" ht="45" x14ac:dyDescent="0.25">
      <c r="A346" s="43" t="s">
        <v>305</v>
      </c>
      <c r="B346" s="32" t="s">
        <v>292</v>
      </c>
      <c r="C346" s="32" t="s">
        <v>306</v>
      </c>
      <c r="D346" s="35"/>
      <c r="E346" s="17">
        <f>SUM(E347)</f>
        <v>33518.800000000003</v>
      </c>
      <c r="F346" s="17">
        <f t="shared" ref="F346:G346" si="145">SUM(F347)</f>
        <v>20498.8</v>
      </c>
      <c r="G346" s="17">
        <f t="shared" si="145"/>
        <v>20498.8</v>
      </c>
    </row>
    <row r="347" spans="1:9" x14ac:dyDescent="0.25">
      <c r="A347" s="34" t="s">
        <v>39</v>
      </c>
      <c r="B347" s="32" t="s">
        <v>292</v>
      </c>
      <c r="C347" s="32" t="s">
        <v>306</v>
      </c>
      <c r="D347" s="35">
        <v>800</v>
      </c>
      <c r="E347" s="17">
        <v>33518.800000000003</v>
      </c>
      <c r="F347" s="17">
        <v>20498.8</v>
      </c>
      <c r="G347" s="17">
        <v>20498.8</v>
      </c>
    </row>
    <row r="348" spans="1:9" ht="45" x14ac:dyDescent="0.25">
      <c r="A348" s="43" t="s">
        <v>307</v>
      </c>
      <c r="B348" s="32" t="s">
        <v>292</v>
      </c>
      <c r="C348" s="32" t="s">
        <v>308</v>
      </c>
      <c r="D348" s="35"/>
      <c r="E348" s="17">
        <f>SUM(E349)</f>
        <v>29083</v>
      </c>
      <c r="F348" s="17">
        <f t="shared" ref="F348:G348" si="146">SUM(F349)</f>
        <v>17281.099999999999</v>
      </c>
      <c r="G348" s="17">
        <f t="shared" si="146"/>
        <v>17281.099999999999</v>
      </c>
    </row>
    <row r="349" spans="1:9" x14ac:dyDescent="0.25">
      <c r="A349" s="34" t="s">
        <v>39</v>
      </c>
      <c r="B349" s="32" t="s">
        <v>292</v>
      </c>
      <c r="C349" s="32" t="s">
        <v>308</v>
      </c>
      <c r="D349" s="35">
        <v>800</v>
      </c>
      <c r="E349" s="17">
        <v>29083</v>
      </c>
      <c r="F349" s="17">
        <v>17281.099999999999</v>
      </c>
      <c r="G349" s="17">
        <v>17281.099999999999</v>
      </c>
    </row>
    <row r="350" spans="1:9" ht="30" x14ac:dyDescent="0.25">
      <c r="A350" s="13" t="s">
        <v>309</v>
      </c>
      <c r="B350" s="32" t="s">
        <v>292</v>
      </c>
      <c r="C350" s="32" t="s">
        <v>310</v>
      </c>
      <c r="D350" s="35"/>
      <c r="E350" s="17">
        <f>SUM(E351)</f>
        <v>230534</v>
      </c>
      <c r="F350" s="17">
        <f t="shared" ref="F350:G351" si="147">SUM(F351)</f>
        <v>0</v>
      </c>
      <c r="G350" s="17">
        <f t="shared" si="147"/>
        <v>0</v>
      </c>
    </row>
    <row r="351" spans="1:9" x14ac:dyDescent="0.25">
      <c r="A351" s="13" t="s">
        <v>311</v>
      </c>
      <c r="B351" s="32" t="s">
        <v>292</v>
      </c>
      <c r="C351" s="32" t="s">
        <v>312</v>
      </c>
      <c r="D351" s="35"/>
      <c r="E351" s="17">
        <f>SUM(E352)</f>
        <v>230534</v>
      </c>
      <c r="F351" s="17">
        <f t="shared" si="147"/>
        <v>0</v>
      </c>
      <c r="G351" s="17">
        <f t="shared" si="147"/>
        <v>0</v>
      </c>
    </row>
    <row r="352" spans="1:9" x14ac:dyDescent="0.25">
      <c r="A352" s="65" t="s">
        <v>39</v>
      </c>
      <c r="B352" s="15" t="s">
        <v>292</v>
      </c>
      <c r="C352" s="67" t="s">
        <v>312</v>
      </c>
      <c r="D352" s="15" t="s">
        <v>620</v>
      </c>
      <c r="E352" s="17">
        <f>81504-1659.6+1659.6-74802+104997+2087.7+5042.3+111705</f>
        <v>230534</v>
      </c>
      <c r="F352" s="17">
        <v>0</v>
      </c>
      <c r="G352" s="17">
        <v>0</v>
      </c>
    </row>
    <row r="353" spans="1:7" ht="30" x14ac:dyDescent="0.25">
      <c r="A353" s="13" t="s">
        <v>313</v>
      </c>
      <c r="B353" s="32" t="s">
        <v>292</v>
      </c>
      <c r="C353" s="32" t="s">
        <v>314</v>
      </c>
      <c r="D353" s="35"/>
      <c r="E353" s="17">
        <f>SUM(E354)+E357</f>
        <v>132105.70000000001</v>
      </c>
      <c r="F353" s="17">
        <f t="shared" ref="F353:G353" si="148">SUM(F354)+F357</f>
        <v>105674.5</v>
      </c>
      <c r="G353" s="17">
        <f t="shared" si="148"/>
        <v>105284.79999999999</v>
      </c>
    </row>
    <row r="354" spans="1:7" ht="30" x14ac:dyDescent="0.25">
      <c r="A354" s="13" t="s">
        <v>625</v>
      </c>
      <c r="B354" s="32" t="s">
        <v>292</v>
      </c>
      <c r="C354" s="32" t="s">
        <v>315</v>
      </c>
      <c r="D354" s="35"/>
      <c r="E354" s="17">
        <f>SUM(E355)</f>
        <v>131556.40000000002</v>
      </c>
      <c r="F354" s="17">
        <f t="shared" ref="F354:G355" si="149">SUM(F355)</f>
        <v>105674.5</v>
      </c>
      <c r="G354" s="17">
        <f t="shared" si="149"/>
        <v>105284.79999999999</v>
      </c>
    </row>
    <row r="355" spans="1:7" x14ac:dyDescent="0.25">
      <c r="A355" s="13" t="s">
        <v>316</v>
      </c>
      <c r="B355" s="32" t="s">
        <v>292</v>
      </c>
      <c r="C355" s="32" t="s">
        <v>317</v>
      </c>
      <c r="D355" s="35"/>
      <c r="E355" s="17">
        <f>SUM(E356)</f>
        <v>131556.40000000002</v>
      </c>
      <c r="F355" s="17">
        <f t="shared" si="149"/>
        <v>105674.5</v>
      </c>
      <c r="G355" s="17">
        <f t="shared" si="149"/>
        <v>105284.79999999999</v>
      </c>
    </row>
    <row r="356" spans="1:7" ht="30" x14ac:dyDescent="0.25">
      <c r="A356" s="13" t="s">
        <v>31</v>
      </c>
      <c r="B356" s="32" t="s">
        <v>292</v>
      </c>
      <c r="C356" s="32" t="s">
        <v>317</v>
      </c>
      <c r="D356" s="35">
        <v>200</v>
      </c>
      <c r="E356" s="17">
        <f>118497.2+18866.5-5807.3</f>
        <v>131556.40000000002</v>
      </c>
      <c r="F356" s="17">
        <f>123544.9-11504-6366.4</f>
        <v>105674.5</v>
      </c>
      <c r="G356" s="17">
        <f>104242.4+1042.4</f>
        <v>105284.79999999999</v>
      </c>
    </row>
    <row r="357" spans="1:7" ht="30" x14ac:dyDescent="0.25">
      <c r="A357" s="13" t="s">
        <v>588</v>
      </c>
      <c r="B357" s="32" t="s">
        <v>292</v>
      </c>
      <c r="C357" s="147" t="s">
        <v>590</v>
      </c>
      <c r="D357" s="35"/>
      <c r="E357" s="17">
        <f>E358</f>
        <v>549.29999999999995</v>
      </c>
      <c r="F357" s="17">
        <f t="shared" ref="F357:G358" si="150">F358</f>
        <v>0</v>
      </c>
      <c r="G357" s="17">
        <f t="shared" si="150"/>
        <v>0</v>
      </c>
    </row>
    <row r="358" spans="1:7" ht="30" x14ac:dyDescent="0.25">
      <c r="A358" s="13" t="s">
        <v>589</v>
      </c>
      <c r="B358" s="32" t="s">
        <v>292</v>
      </c>
      <c r="C358" s="147" t="s">
        <v>591</v>
      </c>
      <c r="D358" s="35"/>
      <c r="E358" s="17">
        <f>E359</f>
        <v>549.29999999999995</v>
      </c>
      <c r="F358" s="17">
        <f t="shared" si="150"/>
        <v>0</v>
      </c>
      <c r="G358" s="17">
        <f t="shared" si="150"/>
        <v>0</v>
      </c>
    </row>
    <row r="359" spans="1:7" ht="30" x14ac:dyDescent="0.25">
      <c r="A359" s="13" t="s">
        <v>31</v>
      </c>
      <c r="B359" s="32" t="s">
        <v>292</v>
      </c>
      <c r="C359" s="147" t="s">
        <v>591</v>
      </c>
      <c r="D359" s="35">
        <v>200</v>
      </c>
      <c r="E359" s="17">
        <v>549.29999999999995</v>
      </c>
      <c r="F359" s="17">
        <v>0</v>
      </c>
      <c r="G359" s="17">
        <v>0</v>
      </c>
    </row>
    <row r="360" spans="1:7" s="7" customFormat="1" x14ac:dyDescent="0.25">
      <c r="A360" s="8" t="s">
        <v>318</v>
      </c>
      <c r="B360" s="39" t="s">
        <v>319</v>
      </c>
      <c r="C360" s="39"/>
      <c r="D360" s="40"/>
      <c r="E360" s="12">
        <f>SUM(E361)+E374+E366</f>
        <v>144097.70000000001</v>
      </c>
      <c r="F360" s="12">
        <f t="shared" ref="F360:G360" si="151">SUM(F361)+F374+F366</f>
        <v>142168.1</v>
      </c>
      <c r="G360" s="12">
        <f t="shared" si="151"/>
        <v>142181.6</v>
      </c>
    </row>
    <row r="361" spans="1:7" ht="30" x14ac:dyDescent="0.25">
      <c r="A361" s="31" t="s">
        <v>66</v>
      </c>
      <c r="B361" s="32" t="s">
        <v>319</v>
      </c>
      <c r="C361" s="32" t="s">
        <v>67</v>
      </c>
      <c r="D361" s="35"/>
      <c r="E361" s="17">
        <f>SUM(E362)</f>
        <v>2.6</v>
      </c>
      <c r="F361" s="17">
        <f t="shared" ref="F361:G364" si="152">SUM(F362)</f>
        <v>2.6</v>
      </c>
      <c r="G361" s="17">
        <f t="shared" si="152"/>
        <v>2.6</v>
      </c>
    </row>
    <row r="362" spans="1:7" ht="45" x14ac:dyDescent="0.25">
      <c r="A362" s="31" t="s">
        <v>320</v>
      </c>
      <c r="B362" s="32" t="s">
        <v>319</v>
      </c>
      <c r="C362" s="32" t="s">
        <v>69</v>
      </c>
      <c r="D362" s="35"/>
      <c r="E362" s="17">
        <f>SUM(E363)</f>
        <v>2.6</v>
      </c>
      <c r="F362" s="17">
        <f t="shared" si="152"/>
        <v>2.6</v>
      </c>
      <c r="G362" s="17">
        <f t="shared" si="152"/>
        <v>2.6</v>
      </c>
    </row>
    <row r="363" spans="1:7" ht="45" x14ac:dyDescent="0.25">
      <c r="A363" s="31" t="s">
        <v>70</v>
      </c>
      <c r="B363" s="32" t="s">
        <v>319</v>
      </c>
      <c r="C363" s="32" t="s">
        <v>71</v>
      </c>
      <c r="D363" s="35"/>
      <c r="E363" s="17">
        <f>SUM(E364)</f>
        <v>2.6</v>
      </c>
      <c r="F363" s="17">
        <f t="shared" si="152"/>
        <v>2.6</v>
      </c>
      <c r="G363" s="17">
        <f t="shared" si="152"/>
        <v>2.6</v>
      </c>
    </row>
    <row r="364" spans="1:7" ht="105" x14ac:dyDescent="0.25">
      <c r="A364" s="42" t="s">
        <v>321</v>
      </c>
      <c r="B364" s="32" t="s">
        <v>319</v>
      </c>
      <c r="C364" s="32" t="s">
        <v>322</v>
      </c>
      <c r="D364" s="35"/>
      <c r="E364" s="17">
        <f>SUM(E365)</f>
        <v>2.6</v>
      </c>
      <c r="F364" s="17">
        <f t="shared" si="152"/>
        <v>2.6</v>
      </c>
      <c r="G364" s="17">
        <f t="shared" si="152"/>
        <v>2.6</v>
      </c>
    </row>
    <row r="365" spans="1:7" ht="30" x14ac:dyDescent="0.25">
      <c r="A365" s="34" t="s">
        <v>31</v>
      </c>
      <c r="B365" s="32" t="s">
        <v>319</v>
      </c>
      <c r="C365" s="32" t="s">
        <v>322</v>
      </c>
      <c r="D365" s="35">
        <v>200</v>
      </c>
      <c r="E365" s="17">
        <v>2.6</v>
      </c>
      <c r="F365" s="17">
        <v>2.6</v>
      </c>
      <c r="G365" s="17">
        <v>2.6</v>
      </c>
    </row>
    <row r="366" spans="1:7" ht="60" x14ac:dyDescent="0.25">
      <c r="A366" s="13" t="s">
        <v>323</v>
      </c>
      <c r="B366" s="14" t="s">
        <v>319</v>
      </c>
      <c r="C366" s="15" t="s">
        <v>76</v>
      </c>
      <c r="D366" s="16"/>
      <c r="E366" s="17">
        <f>SUM(E367)</f>
        <v>57648.700000000004</v>
      </c>
      <c r="F366" s="17">
        <f t="shared" ref="F366:G368" si="153">SUM(F367)</f>
        <v>55108.1</v>
      </c>
      <c r="G366" s="17">
        <f t="shared" si="153"/>
        <v>55108.1</v>
      </c>
    </row>
    <row r="367" spans="1:7" ht="60" x14ac:dyDescent="0.25">
      <c r="A367" s="13" t="s">
        <v>324</v>
      </c>
      <c r="B367" s="14" t="s">
        <v>319</v>
      </c>
      <c r="C367" s="15" t="s">
        <v>325</v>
      </c>
      <c r="D367" s="16"/>
      <c r="E367" s="17">
        <f>SUM(E368)</f>
        <v>57648.700000000004</v>
      </c>
      <c r="F367" s="17">
        <f t="shared" si="153"/>
        <v>55108.1</v>
      </c>
      <c r="G367" s="17">
        <f t="shared" si="153"/>
        <v>55108.1</v>
      </c>
    </row>
    <row r="368" spans="1:7" ht="30" x14ac:dyDescent="0.25">
      <c r="A368" s="13" t="s">
        <v>326</v>
      </c>
      <c r="B368" s="14" t="s">
        <v>319</v>
      </c>
      <c r="C368" s="15" t="s">
        <v>327</v>
      </c>
      <c r="D368" s="16"/>
      <c r="E368" s="17">
        <f>SUM(E369)</f>
        <v>57648.700000000004</v>
      </c>
      <c r="F368" s="17">
        <f t="shared" si="153"/>
        <v>55108.1</v>
      </c>
      <c r="G368" s="17">
        <f t="shared" si="153"/>
        <v>55108.1</v>
      </c>
    </row>
    <row r="369" spans="1:7" ht="30" x14ac:dyDescent="0.25">
      <c r="A369" s="20" t="s">
        <v>36</v>
      </c>
      <c r="B369" s="14" t="s">
        <v>319</v>
      </c>
      <c r="C369" s="15" t="s">
        <v>328</v>
      </c>
      <c r="D369" s="16"/>
      <c r="E369" s="17">
        <f>SUM(E370:E373)</f>
        <v>57648.700000000004</v>
      </c>
      <c r="F369" s="17">
        <f t="shared" ref="F369:G369" si="154">SUM(F370:F373)</f>
        <v>55108.1</v>
      </c>
      <c r="G369" s="17">
        <f t="shared" si="154"/>
        <v>55108.1</v>
      </c>
    </row>
    <row r="370" spans="1:7" ht="60" x14ac:dyDescent="0.25">
      <c r="A370" s="13" t="s">
        <v>20</v>
      </c>
      <c r="B370" s="14" t="s">
        <v>319</v>
      </c>
      <c r="C370" s="15" t="s">
        <v>328</v>
      </c>
      <c r="D370" s="16">
        <v>100</v>
      </c>
      <c r="E370" s="17">
        <f>53847.9-533.1-314.5+314.5</f>
        <v>53314.8</v>
      </c>
      <c r="F370" s="17">
        <f>55447.2-2132.4</f>
        <v>53314.799999999996</v>
      </c>
      <c r="G370" s="17">
        <f>55447.2-2132.4</f>
        <v>53314.799999999996</v>
      </c>
    </row>
    <row r="371" spans="1:7" ht="30" x14ac:dyDescent="0.25">
      <c r="A371" s="13" t="s">
        <v>31</v>
      </c>
      <c r="B371" s="14" t="s">
        <v>319</v>
      </c>
      <c r="C371" s="15" t="s">
        <v>328</v>
      </c>
      <c r="D371" s="16">
        <v>200</v>
      </c>
      <c r="E371" s="17">
        <f>1350.7+314.5+400.1</f>
        <v>2065.3000000000002</v>
      </c>
      <c r="F371" s="17">
        <v>1750.8</v>
      </c>
      <c r="G371" s="17">
        <v>1750.8</v>
      </c>
    </row>
    <row r="372" spans="1:7" x14ac:dyDescent="0.25">
      <c r="A372" s="13" t="s">
        <v>38</v>
      </c>
      <c r="B372" s="14" t="s">
        <v>319</v>
      </c>
      <c r="C372" s="15" t="s">
        <v>328</v>
      </c>
      <c r="D372" s="16">
        <v>300</v>
      </c>
      <c r="E372" s="17">
        <f>221+2005.1</f>
        <v>2226.1</v>
      </c>
      <c r="F372" s="17">
        <v>0</v>
      </c>
      <c r="G372" s="17">
        <v>0</v>
      </c>
    </row>
    <row r="373" spans="1:7" x14ac:dyDescent="0.25">
      <c r="A373" s="19" t="s">
        <v>39</v>
      </c>
      <c r="B373" s="14" t="s">
        <v>319</v>
      </c>
      <c r="C373" s="15" t="s">
        <v>328</v>
      </c>
      <c r="D373" s="16">
        <v>800</v>
      </c>
      <c r="E373" s="17">
        <v>42.5</v>
      </c>
      <c r="F373" s="17">
        <v>42.5</v>
      </c>
      <c r="G373" s="17">
        <v>42.5</v>
      </c>
    </row>
    <row r="374" spans="1:7" ht="45" x14ac:dyDescent="0.25">
      <c r="A374" s="31" t="s">
        <v>329</v>
      </c>
      <c r="B374" s="32" t="s">
        <v>319</v>
      </c>
      <c r="C374" s="32" t="s">
        <v>203</v>
      </c>
      <c r="D374" s="35"/>
      <c r="E374" s="17">
        <f>SUM(E375)</f>
        <v>86446.399999999994</v>
      </c>
      <c r="F374" s="17">
        <f t="shared" ref="F374:G375" si="155">SUM(F375)</f>
        <v>87057.4</v>
      </c>
      <c r="G374" s="17">
        <f t="shared" si="155"/>
        <v>87070.9</v>
      </c>
    </row>
    <row r="375" spans="1:7" ht="45" x14ac:dyDescent="0.25">
      <c r="A375" s="31" t="s">
        <v>330</v>
      </c>
      <c r="B375" s="32" t="s">
        <v>319</v>
      </c>
      <c r="C375" s="32" t="s">
        <v>331</v>
      </c>
      <c r="D375" s="35"/>
      <c r="E375" s="17">
        <f>SUM(E376)</f>
        <v>86446.399999999994</v>
      </c>
      <c r="F375" s="17">
        <f t="shared" si="155"/>
        <v>87057.4</v>
      </c>
      <c r="G375" s="17">
        <f t="shared" si="155"/>
        <v>87070.9</v>
      </c>
    </row>
    <row r="376" spans="1:7" ht="30" x14ac:dyDescent="0.25">
      <c r="A376" s="34" t="s">
        <v>72</v>
      </c>
      <c r="B376" s="32" t="s">
        <v>319</v>
      </c>
      <c r="C376" s="32" t="s">
        <v>332</v>
      </c>
      <c r="D376" s="35"/>
      <c r="E376" s="17">
        <f>SUM(E377:E379)</f>
        <v>86446.399999999994</v>
      </c>
      <c r="F376" s="17">
        <f t="shared" ref="F376:G376" si="156">SUM(F377:F379)</f>
        <v>87057.4</v>
      </c>
      <c r="G376" s="17">
        <f t="shared" si="156"/>
        <v>87070.9</v>
      </c>
    </row>
    <row r="377" spans="1:7" ht="60" x14ac:dyDescent="0.25">
      <c r="A377" s="34" t="s">
        <v>20</v>
      </c>
      <c r="B377" s="32" t="s">
        <v>319</v>
      </c>
      <c r="C377" s="32" t="s">
        <v>332</v>
      </c>
      <c r="D377" s="35">
        <v>100</v>
      </c>
      <c r="E377" s="17">
        <v>60912.1</v>
      </c>
      <c r="F377" s="17">
        <v>62721.2</v>
      </c>
      <c r="G377" s="17">
        <v>62721.2</v>
      </c>
    </row>
    <row r="378" spans="1:7" ht="30" x14ac:dyDescent="0.25">
      <c r="A378" s="13" t="s">
        <v>31</v>
      </c>
      <c r="B378" s="32" t="s">
        <v>319</v>
      </c>
      <c r="C378" s="32" t="s">
        <v>332</v>
      </c>
      <c r="D378" s="35">
        <v>200</v>
      </c>
      <c r="E378" s="17">
        <v>2666.3</v>
      </c>
      <c r="F378" s="17">
        <v>1468.2</v>
      </c>
      <c r="G378" s="17">
        <v>1481.7</v>
      </c>
    </row>
    <row r="379" spans="1:7" x14ac:dyDescent="0.25">
      <c r="A379" s="19" t="s">
        <v>39</v>
      </c>
      <c r="B379" s="32" t="s">
        <v>319</v>
      </c>
      <c r="C379" s="32" t="s">
        <v>332</v>
      </c>
      <c r="D379" s="35">
        <v>800</v>
      </c>
      <c r="E379" s="17">
        <v>22868</v>
      </c>
      <c r="F379" s="17">
        <v>22868</v>
      </c>
      <c r="G379" s="17">
        <v>22868</v>
      </c>
    </row>
    <row r="380" spans="1:7" s="7" customFormat="1" x14ac:dyDescent="0.25">
      <c r="A380" s="41" t="s">
        <v>333</v>
      </c>
      <c r="B380" s="9" t="s">
        <v>334</v>
      </c>
      <c r="C380" s="10"/>
      <c r="D380" s="11"/>
      <c r="E380" s="12">
        <f>E381+E406+E449+E479+E500</f>
        <v>4841889.0000000009</v>
      </c>
      <c r="F380" s="12">
        <f>F381+F406+F449+F479+F500</f>
        <v>4280318.5999999996</v>
      </c>
      <c r="G380" s="12">
        <f>G381+G406+G449+G479+G500</f>
        <v>3886195.0000000005</v>
      </c>
    </row>
    <row r="381" spans="1:7" s="7" customFormat="1" x14ac:dyDescent="0.25">
      <c r="A381" s="8" t="s">
        <v>335</v>
      </c>
      <c r="B381" s="9" t="s">
        <v>336</v>
      </c>
      <c r="C381" s="10"/>
      <c r="D381" s="11"/>
      <c r="E381" s="12">
        <f>SUM(E382)</f>
        <v>1327389.8</v>
      </c>
      <c r="F381" s="12">
        <f t="shared" ref="F381:G381" si="157">SUM(F382)</f>
        <v>1390753</v>
      </c>
      <c r="G381" s="12">
        <f t="shared" si="157"/>
        <v>1415563.9999999998</v>
      </c>
    </row>
    <row r="382" spans="1:7" ht="21.75" customHeight="1" x14ac:dyDescent="0.25">
      <c r="A382" s="13" t="s">
        <v>337</v>
      </c>
      <c r="B382" s="14" t="s">
        <v>336</v>
      </c>
      <c r="C382" s="15" t="s">
        <v>338</v>
      </c>
      <c r="D382" s="16"/>
      <c r="E382" s="17">
        <f>SUM(E383)+E400</f>
        <v>1327389.8</v>
      </c>
      <c r="F382" s="17">
        <f t="shared" ref="F382:G382" si="158">SUM(F383)+F400</f>
        <v>1390753</v>
      </c>
      <c r="G382" s="17">
        <f t="shared" si="158"/>
        <v>1415563.9999999998</v>
      </c>
    </row>
    <row r="383" spans="1:7" ht="30" x14ac:dyDescent="0.25">
      <c r="A383" s="19" t="s">
        <v>339</v>
      </c>
      <c r="B383" s="14" t="s">
        <v>336</v>
      </c>
      <c r="C383" s="15" t="s">
        <v>340</v>
      </c>
      <c r="D383" s="16"/>
      <c r="E383" s="17">
        <f>E384+E392+E397</f>
        <v>1325823.9000000001</v>
      </c>
      <c r="F383" s="17">
        <f t="shared" ref="F383:G383" si="159">F384+F392+F397</f>
        <v>1389421.5</v>
      </c>
      <c r="G383" s="17">
        <f t="shared" si="159"/>
        <v>1414232.7999999998</v>
      </c>
    </row>
    <row r="384" spans="1:7" ht="39" customHeight="1" x14ac:dyDescent="0.25">
      <c r="A384" s="19" t="s">
        <v>341</v>
      </c>
      <c r="B384" s="14" t="s">
        <v>336</v>
      </c>
      <c r="C384" s="15" t="s">
        <v>342</v>
      </c>
      <c r="D384" s="16"/>
      <c r="E384" s="17">
        <f>SUM(E385+E387+E390)</f>
        <v>1314015.1000000001</v>
      </c>
      <c r="F384" s="17">
        <f t="shared" ref="F384:G384" si="160">SUM(F385+F387+F390)</f>
        <v>1387115.7</v>
      </c>
      <c r="G384" s="17">
        <f t="shared" si="160"/>
        <v>1414232.7999999998</v>
      </c>
    </row>
    <row r="385" spans="1:7" ht="30" x14ac:dyDescent="0.25">
      <c r="A385" s="19" t="s">
        <v>60</v>
      </c>
      <c r="B385" s="14" t="s">
        <v>336</v>
      </c>
      <c r="C385" s="15" t="s">
        <v>343</v>
      </c>
      <c r="D385" s="16"/>
      <c r="E385" s="17">
        <f>SUM(E386)</f>
        <v>573747.10000000009</v>
      </c>
      <c r="F385" s="17">
        <f t="shared" ref="F385:G385" si="161">SUM(F386)</f>
        <v>601742.1</v>
      </c>
      <c r="G385" s="17">
        <f t="shared" si="161"/>
        <v>644200.6</v>
      </c>
    </row>
    <row r="386" spans="1:7" ht="30" x14ac:dyDescent="0.25">
      <c r="A386" s="13" t="s">
        <v>201</v>
      </c>
      <c r="B386" s="14" t="s">
        <v>336</v>
      </c>
      <c r="C386" s="15" t="s">
        <v>343</v>
      </c>
      <c r="D386" s="16">
        <v>600</v>
      </c>
      <c r="E386" s="17">
        <f>571143-5763+5467.3+2899.8</f>
        <v>573747.10000000009</v>
      </c>
      <c r="F386" s="17">
        <f>603542.1-1800</f>
        <v>601742.1</v>
      </c>
      <c r="G386" s="17">
        <f>644724-523.4</f>
        <v>644200.6</v>
      </c>
    </row>
    <row r="387" spans="1:7" ht="30" x14ac:dyDescent="0.25">
      <c r="A387" s="13" t="s">
        <v>344</v>
      </c>
      <c r="B387" s="14" t="s">
        <v>336</v>
      </c>
      <c r="C387" s="15" t="s">
        <v>579</v>
      </c>
      <c r="D387" s="16"/>
      <c r="E387" s="17">
        <f>SUM(E389)+E388</f>
        <v>30000</v>
      </c>
      <c r="F387" s="17">
        <f t="shared" ref="F387:G387" si="162">SUM(F389)+F388</f>
        <v>30000</v>
      </c>
      <c r="G387" s="17">
        <f t="shared" si="162"/>
        <v>8723.4</v>
      </c>
    </row>
    <row r="388" spans="1:7" ht="30" x14ac:dyDescent="0.25">
      <c r="A388" s="13" t="s">
        <v>201</v>
      </c>
      <c r="B388" s="15" t="s">
        <v>336</v>
      </c>
      <c r="C388" s="15" t="s">
        <v>579</v>
      </c>
      <c r="D388" s="23">
        <v>600</v>
      </c>
      <c r="E388" s="17">
        <v>13500</v>
      </c>
      <c r="F388" s="17"/>
      <c r="G388" s="17"/>
    </row>
    <row r="389" spans="1:7" x14ac:dyDescent="0.25">
      <c r="A389" s="19" t="s">
        <v>39</v>
      </c>
      <c r="B389" s="14" t="s">
        <v>336</v>
      </c>
      <c r="C389" s="15" t="s">
        <v>579</v>
      </c>
      <c r="D389" s="16">
        <v>800</v>
      </c>
      <c r="E389" s="17">
        <f>30000-13500</f>
        <v>16500</v>
      </c>
      <c r="F389" s="17">
        <f>28200+1800</f>
        <v>30000</v>
      </c>
      <c r="G389" s="17">
        <f>8200+523.4</f>
        <v>8723.4</v>
      </c>
    </row>
    <row r="390" spans="1:7" ht="120" x14ac:dyDescent="0.25">
      <c r="A390" s="167" t="s">
        <v>666</v>
      </c>
      <c r="B390" s="14" t="s">
        <v>336</v>
      </c>
      <c r="C390" s="15" t="s">
        <v>345</v>
      </c>
      <c r="D390" s="16"/>
      <c r="E390" s="17">
        <f>E391</f>
        <v>710268</v>
      </c>
      <c r="F390" s="17">
        <f t="shared" ref="F390:G390" si="163">F391</f>
        <v>755373.6</v>
      </c>
      <c r="G390" s="17">
        <f t="shared" si="163"/>
        <v>761308.79999999993</v>
      </c>
    </row>
    <row r="391" spans="1:7" ht="30" x14ac:dyDescent="0.25">
      <c r="A391" s="13" t="s">
        <v>201</v>
      </c>
      <c r="B391" s="14" t="s">
        <v>336</v>
      </c>
      <c r="C391" s="15" t="s">
        <v>345</v>
      </c>
      <c r="D391" s="14" t="s">
        <v>346</v>
      </c>
      <c r="E391" s="17">
        <f>711504.5-1236.5</f>
        <v>710268</v>
      </c>
      <c r="F391" s="17">
        <f>760295.9-4922.3</f>
        <v>755373.6</v>
      </c>
      <c r="G391" s="17">
        <f>766138.2-4829.4</f>
        <v>761308.79999999993</v>
      </c>
    </row>
    <row r="392" spans="1:7" ht="30" x14ac:dyDescent="0.25">
      <c r="A392" s="13" t="s">
        <v>347</v>
      </c>
      <c r="B392" s="14" t="s">
        <v>336</v>
      </c>
      <c r="C392" s="15" t="s">
        <v>348</v>
      </c>
      <c r="D392" s="16"/>
      <c r="E392" s="17">
        <f>E393+E395</f>
        <v>11808.800000000001</v>
      </c>
      <c r="F392" s="17">
        <f>SUM(F395)</f>
        <v>2305.8000000000002</v>
      </c>
      <c r="G392" s="17">
        <f>SUM(G395)</f>
        <v>0</v>
      </c>
    </row>
    <row r="393" spans="1:7" ht="30" x14ac:dyDescent="0.25">
      <c r="A393" s="46" t="s">
        <v>349</v>
      </c>
      <c r="B393" s="15" t="s">
        <v>336</v>
      </c>
      <c r="C393" s="15" t="s">
        <v>350</v>
      </c>
      <c r="D393" s="15"/>
      <c r="E393" s="17">
        <f>SUM(E394)</f>
        <v>1608.6</v>
      </c>
      <c r="F393" s="17">
        <f t="shared" ref="F393:G393" si="164">SUM(F394)</f>
        <v>0</v>
      </c>
      <c r="G393" s="17">
        <f t="shared" si="164"/>
        <v>0</v>
      </c>
    </row>
    <row r="394" spans="1:7" ht="30" x14ac:dyDescent="0.25">
      <c r="A394" s="13" t="s">
        <v>201</v>
      </c>
      <c r="B394" s="15" t="s">
        <v>336</v>
      </c>
      <c r="C394" s="15" t="s">
        <v>350</v>
      </c>
      <c r="D394" s="15" t="s">
        <v>346</v>
      </c>
      <c r="E394" s="17">
        <v>1608.6</v>
      </c>
      <c r="F394" s="17">
        <v>0</v>
      </c>
      <c r="G394" s="17">
        <v>0</v>
      </c>
    </row>
    <row r="395" spans="1:7" ht="45" x14ac:dyDescent="0.25">
      <c r="A395" s="13" t="s">
        <v>351</v>
      </c>
      <c r="B395" s="14" t="s">
        <v>336</v>
      </c>
      <c r="C395" s="15" t="s">
        <v>352</v>
      </c>
      <c r="D395" s="16"/>
      <c r="E395" s="17">
        <f>SUM(E396)</f>
        <v>10200.200000000001</v>
      </c>
      <c r="F395" s="17">
        <f>SUM(F396)</f>
        <v>2305.8000000000002</v>
      </c>
      <c r="G395" s="17">
        <f>SUM(G396)</f>
        <v>0</v>
      </c>
    </row>
    <row r="396" spans="1:7" ht="30" x14ac:dyDescent="0.25">
      <c r="A396" s="34" t="s">
        <v>578</v>
      </c>
      <c r="B396" s="14" t="s">
        <v>336</v>
      </c>
      <c r="C396" s="15" t="s">
        <v>352</v>
      </c>
      <c r="D396" s="16">
        <v>400</v>
      </c>
      <c r="E396" s="17">
        <f>1921.5+8278.7</f>
        <v>10200.200000000001</v>
      </c>
      <c r="F396" s="17">
        <v>2305.8000000000002</v>
      </c>
      <c r="G396" s="17">
        <v>0</v>
      </c>
    </row>
    <row r="397" spans="1:7" ht="30" hidden="1" x14ac:dyDescent="0.25">
      <c r="A397" s="57" t="s">
        <v>353</v>
      </c>
      <c r="B397" s="15" t="s">
        <v>336</v>
      </c>
      <c r="C397" s="58" t="s">
        <v>354</v>
      </c>
      <c r="D397" s="23"/>
      <c r="E397" s="17">
        <f>E398</f>
        <v>0</v>
      </c>
      <c r="F397" s="17">
        <f t="shared" ref="F397:G397" si="165">F398</f>
        <v>0</v>
      </c>
      <c r="G397" s="17">
        <f t="shared" si="165"/>
        <v>0</v>
      </c>
    </row>
    <row r="398" spans="1:7" hidden="1" x14ac:dyDescent="0.25">
      <c r="A398" s="57" t="s">
        <v>355</v>
      </c>
      <c r="B398" s="15" t="s">
        <v>336</v>
      </c>
      <c r="C398" s="58" t="s">
        <v>356</v>
      </c>
      <c r="D398" s="23"/>
      <c r="E398" s="17">
        <f>SUM(E399)</f>
        <v>0</v>
      </c>
      <c r="F398" s="17">
        <f t="shared" ref="F398:G398" si="166">SUM(F399)</f>
        <v>0</v>
      </c>
      <c r="G398" s="17">
        <f t="shared" si="166"/>
        <v>0</v>
      </c>
    </row>
    <row r="399" spans="1:7" ht="30" hidden="1" x14ac:dyDescent="0.25">
      <c r="A399" s="59" t="s">
        <v>201</v>
      </c>
      <c r="B399" s="15" t="s">
        <v>336</v>
      </c>
      <c r="C399" s="58" t="s">
        <v>356</v>
      </c>
      <c r="D399" s="23">
        <v>600</v>
      </c>
      <c r="E399" s="17">
        <f>350-350</f>
        <v>0</v>
      </c>
      <c r="F399" s="17">
        <v>0</v>
      </c>
      <c r="G399" s="17">
        <v>0</v>
      </c>
    </row>
    <row r="400" spans="1:7" ht="45" x14ac:dyDescent="0.25">
      <c r="A400" s="60" t="s">
        <v>357</v>
      </c>
      <c r="B400" s="61" t="s">
        <v>336</v>
      </c>
      <c r="C400" s="62" t="s">
        <v>358</v>
      </c>
      <c r="D400" s="61"/>
      <c r="E400" s="17">
        <f>SUM(E401)</f>
        <v>1565.9</v>
      </c>
      <c r="F400" s="17">
        <f t="shared" ref="F400:G404" si="167">SUM(F401)</f>
        <v>1331.5</v>
      </c>
      <c r="G400" s="17">
        <f t="shared" si="167"/>
        <v>1331.2</v>
      </c>
    </row>
    <row r="401" spans="1:7" ht="30" x14ac:dyDescent="0.25">
      <c r="A401" s="63" t="s">
        <v>359</v>
      </c>
      <c r="B401" s="61" t="s">
        <v>336</v>
      </c>
      <c r="C401" s="62" t="s">
        <v>360</v>
      </c>
      <c r="D401" s="61"/>
      <c r="E401" s="17">
        <f>SUM(E404)+E402</f>
        <v>1565.9</v>
      </c>
      <c r="F401" s="17">
        <f t="shared" ref="F401:G401" si="168">SUM(F404)+F402</f>
        <v>1331.5</v>
      </c>
      <c r="G401" s="17">
        <f t="shared" si="168"/>
        <v>1331.2</v>
      </c>
    </row>
    <row r="402" spans="1:7" ht="30" x14ac:dyDescent="0.25">
      <c r="A402" s="76" t="s">
        <v>385</v>
      </c>
      <c r="B402" s="15" t="s">
        <v>336</v>
      </c>
      <c r="C402" s="58" t="s">
        <v>386</v>
      </c>
      <c r="D402" s="23"/>
      <c r="E402" s="17">
        <f>E403</f>
        <v>234.4</v>
      </c>
      <c r="F402" s="17">
        <f t="shared" ref="F402:G402" si="169">F403</f>
        <v>0</v>
      </c>
      <c r="G402" s="17">
        <f t="shared" si="169"/>
        <v>0</v>
      </c>
    </row>
    <row r="403" spans="1:7" ht="30" x14ac:dyDescent="0.25">
      <c r="A403" s="13" t="s">
        <v>201</v>
      </c>
      <c r="B403" s="15" t="s">
        <v>336</v>
      </c>
      <c r="C403" s="58" t="s">
        <v>386</v>
      </c>
      <c r="D403" s="23">
        <v>600</v>
      </c>
      <c r="E403" s="17">
        <v>234.4</v>
      </c>
      <c r="F403" s="17">
        <v>0</v>
      </c>
      <c r="G403" s="17">
        <v>0</v>
      </c>
    </row>
    <row r="404" spans="1:7" ht="30" x14ac:dyDescent="0.25">
      <c r="A404" s="64" t="s">
        <v>361</v>
      </c>
      <c r="B404" s="61" t="s">
        <v>336</v>
      </c>
      <c r="C404" s="62" t="s">
        <v>362</v>
      </c>
      <c r="D404" s="61"/>
      <c r="E404" s="17">
        <f>SUM(E405)</f>
        <v>1331.5</v>
      </c>
      <c r="F404" s="17">
        <f t="shared" si="167"/>
        <v>1331.5</v>
      </c>
      <c r="G404" s="17">
        <f t="shared" si="167"/>
        <v>1331.2</v>
      </c>
    </row>
    <row r="405" spans="1:7" ht="30" x14ac:dyDescent="0.25">
      <c r="A405" s="13" t="s">
        <v>201</v>
      </c>
      <c r="B405" s="61" t="s">
        <v>336</v>
      </c>
      <c r="C405" s="62" t="s">
        <v>362</v>
      </c>
      <c r="D405" s="61">
        <v>600</v>
      </c>
      <c r="E405" s="17">
        <v>1331.5</v>
      </c>
      <c r="F405" s="17">
        <v>1331.5</v>
      </c>
      <c r="G405" s="17">
        <v>1331.2</v>
      </c>
    </row>
    <row r="406" spans="1:7" s="7" customFormat="1" x14ac:dyDescent="0.25">
      <c r="A406" s="8" t="s">
        <v>363</v>
      </c>
      <c r="B406" s="10" t="s">
        <v>364</v>
      </c>
      <c r="C406" s="10"/>
      <c r="D406" s="27"/>
      <c r="E406" s="12">
        <f>SUM(E407)</f>
        <v>2859584.1</v>
      </c>
      <c r="F406" s="12">
        <f t="shared" ref="F406:G406" si="170">SUM(F407)</f>
        <v>2375546.5999999996</v>
      </c>
      <c r="G406" s="12">
        <f t="shared" si="170"/>
        <v>1928697.5</v>
      </c>
    </row>
    <row r="407" spans="1:7" ht="30" x14ac:dyDescent="0.25">
      <c r="A407" s="13" t="s">
        <v>337</v>
      </c>
      <c r="B407" s="14" t="s">
        <v>364</v>
      </c>
      <c r="C407" s="15" t="s">
        <v>338</v>
      </c>
      <c r="D407" s="16"/>
      <c r="E407" s="17">
        <f>SUM(E408+E443)</f>
        <v>2859584.1</v>
      </c>
      <c r="F407" s="17">
        <f>SUM(F408+F443)</f>
        <v>2375546.5999999996</v>
      </c>
      <c r="G407" s="17">
        <f>SUM(G408+G443)</f>
        <v>1928697.5</v>
      </c>
    </row>
    <row r="408" spans="1:7" ht="30" x14ac:dyDescent="0.25">
      <c r="A408" s="19" t="s">
        <v>339</v>
      </c>
      <c r="B408" s="14" t="s">
        <v>364</v>
      </c>
      <c r="C408" s="15" t="s">
        <v>340</v>
      </c>
      <c r="D408" s="16"/>
      <c r="E408" s="17">
        <f>SUM(E412+E435+E438)+E409</f>
        <v>2857262.3000000003</v>
      </c>
      <c r="F408" s="17">
        <f t="shared" ref="F408:G408" si="171">SUM(F412+F435+F438)+F409</f>
        <v>2373400.5999999996</v>
      </c>
      <c r="G408" s="17">
        <f t="shared" si="171"/>
        <v>1926551.5</v>
      </c>
    </row>
    <row r="409" spans="1:7" x14ac:dyDescent="0.25">
      <c r="A409" s="65" t="s">
        <v>365</v>
      </c>
      <c r="B409" s="14" t="s">
        <v>364</v>
      </c>
      <c r="C409" s="15" t="s">
        <v>366</v>
      </c>
      <c r="D409" s="16"/>
      <c r="E409" s="17">
        <f>SUM(E410)</f>
        <v>963537.7</v>
      </c>
      <c r="F409" s="17">
        <f t="shared" ref="F409:G410" si="172">SUM(F410)</f>
        <v>636456.69999999995</v>
      </c>
      <c r="G409" s="17">
        <f t="shared" si="172"/>
        <v>0</v>
      </c>
    </row>
    <row r="410" spans="1:7" x14ac:dyDescent="0.25">
      <c r="A410" s="42" t="s">
        <v>367</v>
      </c>
      <c r="B410" s="14" t="s">
        <v>364</v>
      </c>
      <c r="C410" s="15" t="s">
        <v>368</v>
      </c>
      <c r="D410" s="16"/>
      <c r="E410" s="17">
        <f>SUM(E411)</f>
        <v>963537.7</v>
      </c>
      <c r="F410" s="17">
        <f t="shared" si="172"/>
        <v>636456.69999999995</v>
      </c>
      <c r="G410" s="17">
        <f t="shared" si="172"/>
        <v>0</v>
      </c>
    </row>
    <row r="411" spans="1:7" ht="30" x14ac:dyDescent="0.25">
      <c r="A411" s="34" t="s">
        <v>578</v>
      </c>
      <c r="B411" s="14" t="s">
        <v>364</v>
      </c>
      <c r="C411" s="15" t="s">
        <v>368</v>
      </c>
      <c r="D411" s="16">
        <v>400</v>
      </c>
      <c r="E411" s="17">
        <f>613993.6-0.1+30699.7-24.2+19297.6-2758.5+302329.6</f>
        <v>963537.7</v>
      </c>
      <c r="F411" s="17">
        <f>636456.7+31822.8-31822.8</f>
        <v>636456.69999999995</v>
      </c>
      <c r="G411" s="17">
        <v>0</v>
      </c>
    </row>
    <row r="412" spans="1:7" ht="45" x14ac:dyDescent="0.25">
      <c r="A412" s="20" t="s">
        <v>341</v>
      </c>
      <c r="B412" s="14" t="s">
        <v>364</v>
      </c>
      <c r="C412" s="15" t="s">
        <v>342</v>
      </c>
      <c r="D412" s="16"/>
      <c r="E412" s="17">
        <f>SUM(E413+E415+E417+E419+E423+E425+E427+E429+E431+E433)+E421</f>
        <v>1674573.3000000003</v>
      </c>
      <c r="F412" s="17">
        <f t="shared" ref="F412:G412" si="173">SUM(F413+F415+F417+F419+F423+F425+F427+F429+F431+F433)+F421</f>
        <v>1736943.9</v>
      </c>
      <c r="G412" s="17">
        <f t="shared" si="173"/>
        <v>1926551.5</v>
      </c>
    </row>
    <row r="413" spans="1:7" ht="45" x14ac:dyDescent="0.25">
      <c r="A413" s="20" t="s">
        <v>661</v>
      </c>
      <c r="B413" s="14" t="s">
        <v>364</v>
      </c>
      <c r="C413" s="15" t="s">
        <v>369</v>
      </c>
      <c r="D413" s="16"/>
      <c r="E413" s="17">
        <v>137487.4</v>
      </c>
      <c r="F413" s="17">
        <f>SUM(F414)</f>
        <v>142333.70000000001</v>
      </c>
      <c r="G413" s="17">
        <f>SUM(G414)</f>
        <v>144426.6</v>
      </c>
    </row>
    <row r="414" spans="1:7" ht="30" x14ac:dyDescent="0.25">
      <c r="A414" s="13" t="s">
        <v>201</v>
      </c>
      <c r="B414" s="14" t="s">
        <v>364</v>
      </c>
      <c r="C414" s="15" t="s">
        <v>369</v>
      </c>
      <c r="D414" s="16">
        <v>600</v>
      </c>
      <c r="E414" s="17">
        <v>137487.4</v>
      </c>
      <c r="F414" s="17">
        <v>142333.70000000001</v>
      </c>
      <c r="G414" s="17">
        <v>144426.6</v>
      </c>
    </row>
    <row r="415" spans="1:7" ht="30" x14ac:dyDescent="0.25">
      <c r="A415" s="31" t="s">
        <v>370</v>
      </c>
      <c r="B415" s="15" t="s">
        <v>364</v>
      </c>
      <c r="C415" s="32" t="s">
        <v>371</v>
      </c>
      <c r="D415" s="66"/>
      <c r="E415" s="17">
        <f>SUM(E416)</f>
        <v>13207.3</v>
      </c>
      <c r="F415" s="17">
        <f t="shared" ref="F415:G415" si="174">SUM(F416)</f>
        <v>13207.3</v>
      </c>
      <c r="G415" s="17">
        <f t="shared" si="174"/>
        <v>13207.3</v>
      </c>
    </row>
    <row r="416" spans="1:7" ht="30" x14ac:dyDescent="0.25">
      <c r="A416" s="13" t="s">
        <v>201</v>
      </c>
      <c r="B416" s="15" t="s">
        <v>364</v>
      </c>
      <c r="C416" s="32" t="s">
        <v>371</v>
      </c>
      <c r="D416" s="22">
        <v>600</v>
      </c>
      <c r="E416" s="17">
        <f>9245.1+3962.2</f>
        <v>13207.3</v>
      </c>
      <c r="F416" s="17">
        <v>13207.3</v>
      </c>
      <c r="G416" s="17">
        <v>13207.3</v>
      </c>
    </row>
    <row r="417" spans="1:7" ht="30" x14ac:dyDescent="0.25">
      <c r="A417" s="31" t="s">
        <v>372</v>
      </c>
      <c r="B417" s="15" t="s">
        <v>364</v>
      </c>
      <c r="C417" s="32" t="s">
        <v>373</v>
      </c>
      <c r="D417" s="66"/>
      <c r="E417" s="17">
        <f>SUM(E418)</f>
        <v>499</v>
      </c>
      <c r="F417" s="17">
        <f t="shared" ref="F417:G417" si="175">SUM(F418)</f>
        <v>499</v>
      </c>
      <c r="G417" s="17">
        <f t="shared" si="175"/>
        <v>499</v>
      </c>
    </row>
    <row r="418" spans="1:7" ht="30" x14ac:dyDescent="0.25">
      <c r="A418" s="13" t="s">
        <v>201</v>
      </c>
      <c r="B418" s="15" t="s">
        <v>364</v>
      </c>
      <c r="C418" s="32" t="s">
        <v>373</v>
      </c>
      <c r="D418" s="22">
        <v>600</v>
      </c>
      <c r="E418" s="17">
        <v>499</v>
      </c>
      <c r="F418" s="17">
        <v>499</v>
      </c>
      <c r="G418" s="17">
        <v>499</v>
      </c>
    </row>
    <row r="419" spans="1:7" ht="30" x14ac:dyDescent="0.25">
      <c r="A419" s="20" t="s">
        <v>60</v>
      </c>
      <c r="B419" s="14" t="s">
        <v>364</v>
      </c>
      <c r="C419" s="15" t="s">
        <v>343</v>
      </c>
      <c r="D419" s="16"/>
      <c r="E419" s="17">
        <f>SUM(E420)</f>
        <v>247543.80000000002</v>
      </c>
      <c r="F419" s="17">
        <f t="shared" ref="F419:G419" si="176">SUM(F420)</f>
        <v>270713.2</v>
      </c>
      <c r="G419" s="17">
        <f t="shared" si="176"/>
        <v>349621.89999999997</v>
      </c>
    </row>
    <row r="420" spans="1:7" ht="30" x14ac:dyDescent="0.25">
      <c r="A420" s="13" t="s">
        <v>201</v>
      </c>
      <c r="B420" s="15" t="s">
        <v>364</v>
      </c>
      <c r="C420" s="15" t="s">
        <v>343</v>
      </c>
      <c r="D420" s="23">
        <v>600</v>
      </c>
      <c r="E420" s="17">
        <f>262304.9-4083+966.3-11852.8+208.4</f>
        <v>247543.80000000002</v>
      </c>
      <c r="F420" s="17">
        <f>270255.6+457.7-0.1</f>
        <v>270713.2</v>
      </c>
      <c r="G420" s="17">
        <f>348945.6+676.3</f>
        <v>349621.89999999997</v>
      </c>
    </row>
    <row r="421" spans="1:7" ht="30" x14ac:dyDescent="0.25">
      <c r="A421" s="13" t="s">
        <v>641</v>
      </c>
      <c r="B421" s="15" t="s">
        <v>364</v>
      </c>
      <c r="C421" s="15" t="s">
        <v>642</v>
      </c>
      <c r="D421" s="23"/>
      <c r="E421" s="17">
        <f>E422</f>
        <v>28316.5</v>
      </c>
      <c r="F421" s="17">
        <f t="shared" ref="F421:G421" si="177">F422</f>
        <v>0</v>
      </c>
      <c r="G421" s="17">
        <f t="shared" si="177"/>
        <v>0</v>
      </c>
    </row>
    <row r="422" spans="1:7" ht="30" x14ac:dyDescent="0.25">
      <c r="A422" s="13" t="s">
        <v>201</v>
      </c>
      <c r="B422" s="15" t="s">
        <v>364</v>
      </c>
      <c r="C422" s="15" t="s">
        <v>642</v>
      </c>
      <c r="D422" s="23">
        <v>600</v>
      </c>
      <c r="E422" s="17">
        <f>5570.3+22746.2</f>
        <v>28316.5</v>
      </c>
      <c r="F422" s="17">
        <v>0</v>
      </c>
      <c r="G422" s="17">
        <v>0</v>
      </c>
    </row>
    <row r="423" spans="1:7" ht="45" x14ac:dyDescent="0.25">
      <c r="A423" s="31" t="s">
        <v>374</v>
      </c>
      <c r="B423" s="15" t="s">
        <v>364</v>
      </c>
      <c r="C423" s="32" t="s">
        <v>375</v>
      </c>
      <c r="D423" s="66"/>
      <c r="E423" s="17">
        <f>SUM(E424)</f>
        <v>7229.3</v>
      </c>
      <c r="F423" s="17">
        <f t="shared" ref="F423:G423" si="178">SUM(F424)</f>
        <v>10327.5</v>
      </c>
      <c r="G423" s="17">
        <f t="shared" si="178"/>
        <v>10327.5</v>
      </c>
    </row>
    <row r="424" spans="1:7" ht="30" x14ac:dyDescent="0.25">
      <c r="A424" s="13" t="s">
        <v>201</v>
      </c>
      <c r="B424" s="15" t="s">
        <v>364</v>
      </c>
      <c r="C424" s="32" t="s">
        <v>375</v>
      </c>
      <c r="D424" s="22">
        <v>600</v>
      </c>
      <c r="E424" s="17">
        <v>7229.3</v>
      </c>
      <c r="F424" s="17">
        <v>10327.5</v>
      </c>
      <c r="G424" s="17">
        <v>10327.5</v>
      </c>
    </row>
    <row r="425" spans="1:7" ht="60" x14ac:dyDescent="0.25">
      <c r="A425" s="13" t="s">
        <v>376</v>
      </c>
      <c r="B425" s="15" t="s">
        <v>364</v>
      </c>
      <c r="C425" s="32" t="s">
        <v>377</v>
      </c>
      <c r="D425" s="22"/>
      <c r="E425" s="17">
        <f>SUM(E426)</f>
        <v>4585</v>
      </c>
      <c r="F425" s="17">
        <f t="shared" ref="F425:G425" si="179">SUM(F426)</f>
        <v>4585</v>
      </c>
      <c r="G425" s="17">
        <f t="shared" si="179"/>
        <v>941.90000000000009</v>
      </c>
    </row>
    <row r="426" spans="1:7" ht="30" x14ac:dyDescent="0.25">
      <c r="A426" s="13" t="s">
        <v>201</v>
      </c>
      <c r="B426" s="15" t="s">
        <v>364</v>
      </c>
      <c r="C426" s="32" t="s">
        <v>377</v>
      </c>
      <c r="D426" s="22">
        <v>600</v>
      </c>
      <c r="E426" s="17">
        <f>5042.7-457.7</f>
        <v>4585</v>
      </c>
      <c r="F426" s="17">
        <f>5042.7-457.7</f>
        <v>4585</v>
      </c>
      <c r="G426" s="17">
        <f>1618.2-676.3</f>
        <v>941.90000000000009</v>
      </c>
    </row>
    <row r="427" spans="1:7" ht="45" x14ac:dyDescent="0.25">
      <c r="A427" s="108" t="s">
        <v>378</v>
      </c>
      <c r="B427" s="15" t="s">
        <v>364</v>
      </c>
      <c r="C427" s="67" t="s">
        <v>379</v>
      </c>
      <c r="D427" s="68"/>
      <c r="E427" s="17">
        <f>SUM(E428)</f>
        <v>131358.80000000002</v>
      </c>
      <c r="F427" s="17">
        <f t="shared" ref="F427:G427" si="180">SUM(F428)</f>
        <v>131358.80000000002</v>
      </c>
      <c r="G427" s="17">
        <f t="shared" si="180"/>
        <v>131358.79999999999</v>
      </c>
    </row>
    <row r="428" spans="1:7" ht="30" x14ac:dyDescent="0.25">
      <c r="A428" s="59" t="s">
        <v>201</v>
      </c>
      <c r="B428" s="15" t="s">
        <v>364</v>
      </c>
      <c r="C428" s="67" t="s">
        <v>379</v>
      </c>
      <c r="D428" s="68">
        <v>600</v>
      </c>
      <c r="E428" s="17">
        <f>128663.6+2695.2</f>
        <v>131358.80000000002</v>
      </c>
      <c r="F428" s="17">
        <f>128663.6+2695.2</f>
        <v>131358.80000000002</v>
      </c>
      <c r="G428" s="17">
        <v>131358.79999999999</v>
      </c>
    </row>
    <row r="429" spans="1:7" ht="75" x14ac:dyDescent="0.25">
      <c r="A429" s="144" t="s">
        <v>380</v>
      </c>
      <c r="B429" s="15" t="s">
        <v>364</v>
      </c>
      <c r="C429" s="67" t="s">
        <v>381</v>
      </c>
      <c r="D429" s="68"/>
      <c r="E429" s="17">
        <f>SUM(E430)</f>
        <v>8757.3000000000011</v>
      </c>
      <c r="F429" s="17">
        <f t="shared" ref="F429:G429" si="181">SUM(F430)</f>
        <v>8757.3000000000011</v>
      </c>
      <c r="G429" s="17">
        <f t="shared" si="181"/>
        <v>8757.2999999999993</v>
      </c>
    </row>
    <row r="430" spans="1:7" ht="30" x14ac:dyDescent="0.25">
      <c r="A430" s="59" t="s">
        <v>201</v>
      </c>
      <c r="B430" s="15" t="s">
        <v>364</v>
      </c>
      <c r="C430" s="67" t="s">
        <v>381</v>
      </c>
      <c r="D430" s="68">
        <v>600</v>
      </c>
      <c r="E430" s="17">
        <f>8577.6+179.7</f>
        <v>8757.3000000000011</v>
      </c>
      <c r="F430" s="17">
        <f>8577.6+179.7</f>
        <v>8757.3000000000011</v>
      </c>
      <c r="G430" s="17">
        <v>8757.2999999999993</v>
      </c>
    </row>
    <row r="431" spans="1:7" ht="30" x14ac:dyDescent="0.25">
      <c r="A431" s="13" t="s">
        <v>382</v>
      </c>
      <c r="B431" s="14" t="s">
        <v>364</v>
      </c>
      <c r="C431" s="15" t="s">
        <v>383</v>
      </c>
      <c r="D431" s="16"/>
      <c r="E431" s="17">
        <f>SUM(E432)</f>
        <v>1524.2999999999993</v>
      </c>
      <c r="F431" s="17">
        <v>0</v>
      </c>
      <c r="G431" s="17">
        <v>0</v>
      </c>
    </row>
    <row r="432" spans="1:7" ht="30" x14ac:dyDescent="0.25">
      <c r="A432" s="13" t="s">
        <v>201</v>
      </c>
      <c r="B432" s="14" t="s">
        <v>364</v>
      </c>
      <c r="C432" s="15" t="s">
        <v>383</v>
      </c>
      <c r="D432" s="16">
        <v>600</v>
      </c>
      <c r="E432" s="17">
        <f>6966.4-5442.1</f>
        <v>1524.2999999999993</v>
      </c>
      <c r="F432" s="17">
        <v>0</v>
      </c>
      <c r="G432" s="17">
        <v>0</v>
      </c>
    </row>
    <row r="433" spans="1:7" ht="120" x14ac:dyDescent="0.25">
      <c r="A433" s="167" t="s">
        <v>666</v>
      </c>
      <c r="B433" s="14" t="s">
        <v>364</v>
      </c>
      <c r="C433" s="15" t="s">
        <v>345</v>
      </c>
      <c r="D433" s="15"/>
      <c r="E433" s="17">
        <f>SUM(E434)</f>
        <v>1094064.6000000001</v>
      </c>
      <c r="F433" s="17">
        <f t="shared" ref="F433:G433" si="182">SUM(F434)</f>
        <v>1155162.0999999999</v>
      </c>
      <c r="G433" s="17">
        <f t="shared" si="182"/>
        <v>1267411.2</v>
      </c>
    </row>
    <row r="434" spans="1:7" ht="30" x14ac:dyDescent="0.25">
      <c r="A434" s="13" t="s">
        <v>201</v>
      </c>
      <c r="B434" s="15" t="s">
        <v>364</v>
      </c>
      <c r="C434" s="15" t="s">
        <v>345</v>
      </c>
      <c r="D434" s="15" t="s">
        <v>346</v>
      </c>
      <c r="E434" s="17">
        <f>1096277.6-2213</f>
        <v>1094064.6000000001</v>
      </c>
      <c r="F434" s="17">
        <f>1163818.4-8656.3</f>
        <v>1155162.0999999999</v>
      </c>
      <c r="G434" s="17">
        <f>1172601-8492.8+103303</f>
        <v>1267411.2</v>
      </c>
    </row>
    <row r="435" spans="1:7" ht="42.75" customHeight="1" x14ac:dyDescent="0.25">
      <c r="A435" s="13" t="s">
        <v>384</v>
      </c>
      <c r="B435" s="15" t="s">
        <v>364</v>
      </c>
      <c r="C435" s="15" t="s">
        <v>348</v>
      </c>
      <c r="D435" s="15"/>
      <c r="E435" s="17">
        <f>SUM(E436)+E441</f>
        <v>219151.30000000002</v>
      </c>
      <c r="F435" s="17">
        <f t="shared" ref="F435:G435" si="183">SUM(F436)+F441</f>
        <v>0</v>
      </c>
      <c r="G435" s="17">
        <f t="shared" si="183"/>
        <v>0</v>
      </c>
    </row>
    <row r="436" spans="1:7" ht="42.75" customHeight="1" x14ac:dyDescent="0.25">
      <c r="A436" s="46" t="s">
        <v>349</v>
      </c>
      <c r="B436" s="15" t="s">
        <v>364</v>
      </c>
      <c r="C436" s="15" t="s">
        <v>350</v>
      </c>
      <c r="D436" s="15"/>
      <c r="E436" s="17">
        <f>SUM(E437)</f>
        <v>16208.6</v>
      </c>
      <c r="F436" s="17">
        <v>0</v>
      </c>
      <c r="G436" s="17">
        <v>0</v>
      </c>
    </row>
    <row r="437" spans="1:7" ht="30" customHeight="1" x14ac:dyDescent="0.25">
      <c r="A437" s="13" t="s">
        <v>201</v>
      </c>
      <c r="B437" s="15" t="s">
        <v>364</v>
      </c>
      <c r="C437" s="15" t="s">
        <v>350</v>
      </c>
      <c r="D437" s="15" t="s">
        <v>346</v>
      </c>
      <c r="E437" s="17">
        <v>16208.6</v>
      </c>
      <c r="F437" s="17">
        <v>0</v>
      </c>
      <c r="G437" s="17">
        <v>0</v>
      </c>
    </row>
    <row r="438" spans="1:7" ht="36.950000000000003" hidden="1" customHeight="1" x14ac:dyDescent="0.25">
      <c r="A438" s="57" t="s">
        <v>353</v>
      </c>
      <c r="B438" s="15" t="s">
        <v>364</v>
      </c>
      <c r="C438" s="58" t="s">
        <v>354</v>
      </c>
      <c r="D438" s="23"/>
      <c r="E438" s="17">
        <f>SUM(E439)</f>
        <v>0</v>
      </c>
      <c r="F438" s="17">
        <v>0</v>
      </c>
      <c r="G438" s="17">
        <v>0</v>
      </c>
    </row>
    <row r="439" spans="1:7" ht="35.25" hidden="1" customHeight="1" x14ac:dyDescent="0.25">
      <c r="A439" s="57" t="s">
        <v>355</v>
      </c>
      <c r="B439" s="15" t="s">
        <v>364</v>
      </c>
      <c r="C439" s="58" t="s">
        <v>356</v>
      </c>
      <c r="D439" s="23"/>
      <c r="E439" s="17">
        <f>E440</f>
        <v>0</v>
      </c>
      <c r="F439" s="17">
        <f t="shared" ref="F439:G439" si="184">F440</f>
        <v>0</v>
      </c>
      <c r="G439" s="17">
        <f t="shared" si="184"/>
        <v>0</v>
      </c>
    </row>
    <row r="440" spans="1:7" ht="30" hidden="1" x14ac:dyDescent="0.25">
      <c r="A440" s="59" t="s">
        <v>201</v>
      </c>
      <c r="B440" s="15" t="s">
        <v>364</v>
      </c>
      <c r="C440" s="58" t="s">
        <v>356</v>
      </c>
      <c r="D440" s="23">
        <v>600</v>
      </c>
      <c r="E440" s="17">
        <f>350-350</f>
        <v>0</v>
      </c>
      <c r="F440" s="17">
        <v>0</v>
      </c>
      <c r="G440" s="17">
        <v>0</v>
      </c>
    </row>
    <row r="441" spans="1:7" x14ac:dyDescent="0.25">
      <c r="A441" s="13" t="s">
        <v>662</v>
      </c>
      <c r="B441" s="15" t="s">
        <v>364</v>
      </c>
      <c r="C441" s="15" t="s">
        <v>659</v>
      </c>
      <c r="D441" s="15"/>
      <c r="E441" s="17">
        <f>E442</f>
        <v>202942.7</v>
      </c>
      <c r="F441" s="17">
        <f t="shared" ref="F441:G441" si="185">F442</f>
        <v>0</v>
      </c>
      <c r="G441" s="17">
        <f t="shared" si="185"/>
        <v>0</v>
      </c>
    </row>
    <row r="442" spans="1:7" ht="30" x14ac:dyDescent="0.25">
      <c r="A442" s="13" t="s">
        <v>201</v>
      </c>
      <c r="B442" s="15" t="s">
        <v>364</v>
      </c>
      <c r="C442" s="15" t="s">
        <v>659</v>
      </c>
      <c r="D442" s="15" t="s">
        <v>346</v>
      </c>
      <c r="E442" s="17">
        <f>12176.6+190766.1</f>
        <v>202942.7</v>
      </c>
      <c r="F442" s="17"/>
      <c r="G442" s="17"/>
    </row>
    <row r="443" spans="1:7" ht="45" x14ac:dyDescent="0.25">
      <c r="A443" s="69" t="s">
        <v>357</v>
      </c>
      <c r="B443" s="32" t="s">
        <v>364</v>
      </c>
      <c r="C443" s="32" t="s">
        <v>358</v>
      </c>
      <c r="D443" s="22"/>
      <c r="E443" s="17">
        <f>SUM(E444)</f>
        <v>2321.8000000000002</v>
      </c>
      <c r="F443" s="17">
        <f t="shared" ref="F443:G443" si="186">SUM(F444)</f>
        <v>2146</v>
      </c>
      <c r="G443" s="17">
        <f t="shared" si="186"/>
        <v>2146</v>
      </c>
    </row>
    <row r="444" spans="1:7" ht="30" x14ac:dyDescent="0.25">
      <c r="A444" s="70" t="s">
        <v>359</v>
      </c>
      <c r="B444" s="32" t="s">
        <v>364</v>
      </c>
      <c r="C444" s="32" t="s">
        <v>360</v>
      </c>
      <c r="D444" s="22"/>
      <c r="E444" s="17">
        <f>SUM(E446+E447)</f>
        <v>2321.8000000000002</v>
      </c>
      <c r="F444" s="17">
        <f t="shared" ref="F444:G444" si="187">SUM(F446+F447)</f>
        <v>2146</v>
      </c>
      <c r="G444" s="17">
        <f t="shared" si="187"/>
        <v>2146</v>
      </c>
    </row>
    <row r="445" spans="1:7" ht="30" x14ac:dyDescent="0.25">
      <c r="A445" s="49" t="s">
        <v>385</v>
      </c>
      <c r="B445" s="32" t="s">
        <v>364</v>
      </c>
      <c r="C445" s="32" t="s">
        <v>386</v>
      </c>
      <c r="D445" s="22"/>
      <c r="E445" s="17">
        <f>SUM(E446)</f>
        <v>514.29999999999995</v>
      </c>
      <c r="F445" s="17">
        <f t="shared" ref="F445:G445" si="188">SUM(F446)</f>
        <v>338.5</v>
      </c>
      <c r="G445" s="17">
        <f t="shared" si="188"/>
        <v>338.5</v>
      </c>
    </row>
    <row r="446" spans="1:7" ht="30" x14ac:dyDescent="0.25">
      <c r="A446" s="13" t="s">
        <v>201</v>
      </c>
      <c r="B446" s="32" t="s">
        <v>364</v>
      </c>
      <c r="C446" s="32" t="s">
        <v>386</v>
      </c>
      <c r="D446" s="22">
        <v>600</v>
      </c>
      <c r="E446" s="17">
        <f>338.5+175.8</f>
        <v>514.29999999999995</v>
      </c>
      <c r="F446" s="17">
        <v>338.5</v>
      </c>
      <c r="G446" s="17">
        <v>338.5</v>
      </c>
    </row>
    <row r="447" spans="1:7" ht="30" x14ac:dyDescent="0.25">
      <c r="A447" s="31" t="s">
        <v>361</v>
      </c>
      <c r="B447" s="32" t="s">
        <v>364</v>
      </c>
      <c r="C447" s="32" t="s">
        <v>362</v>
      </c>
      <c r="D447" s="22"/>
      <c r="E447" s="17">
        <f>SUM(E448)</f>
        <v>1807.5</v>
      </c>
      <c r="F447" s="17">
        <f t="shared" ref="F447:G447" si="189">SUM(F448)</f>
        <v>1807.5</v>
      </c>
      <c r="G447" s="17">
        <f t="shared" si="189"/>
        <v>1807.5</v>
      </c>
    </row>
    <row r="448" spans="1:7" ht="30" x14ac:dyDescent="0.25">
      <c r="A448" s="13" t="s">
        <v>201</v>
      </c>
      <c r="B448" s="32" t="s">
        <v>364</v>
      </c>
      <c r="C448" s="32" t="s">
        <v>362</v>
      </c>
      <c r="D448" s="22">
        <v>600</v>
      </c>
      <c r="E448" s="17">
        <v>1807.5</v>
      </c>
      <c r="F448" s="17">
        <v>1807.5</v>
      </c>
      <c r="G448" s="17">
        <v>1807.5</v>
      </c>
    </row>
    <row r="449" spans="1:7" s="7" customFormat="1" x14ac:dyDescent="0.25">
      <c r="A449" s="8" t="s">
        <v>387</v>
      </c>
      <c r="B449" s="39" t="s">
        <v>388</v>
      </c>
      <c r="C449" s="39"/>
      <c r="D449" s="71"/>
      <c r="E449" s="12">
        <f>SUM(E450)+E467</f>
        <v>503133.8</v>
      </c>
      <c r="F449" s="12">
        <f t="shared" ref="F449:G449" si="190">SUM(F450)+F467</f>
        <v>359104.9</v>
      </c>
      <c r="G449" s="12">
        <f t="shared" si="190"/>
        <v>393950.7</v>
      </c>
    </row>
    <row r="450" spans="1:7" ht="30" x14ac:dyDescent="0.25">
      <c r="A450" s="13" t="s">
        <v>337</v>
      </c>
      <c r="B450" s="14" t="s">
        <v>388</v>
      </c>
      <c r="C450" s="15" t="s">
        <v>338</v>
      </c>
      <c r="D450" s="22"/>
      <c r="E450" s="17">
        <f>SUM(E451+E461)</f>
        <v>405156.3</v>
      </c>
      <c r="F450" s="17">
        <f t="shared" ref="F450:G450" si="191">SUM(F451+F461)</f>
        <v>258260.2</v>
      </c>
      <c r="G450" s="17">
        <f t="shared" si="191"/>
        <v>258888.2</v>
      </c>
    </row>
    <row r="451" spans="1:7" ht="30" x14ac:dyDescent="0.25">
      <c r="A451" s="19" t="s">
        <v>339</v>
      </c>
      <c r="B451" s="14" t="s">
        <v>388</v>
      </c>
      <c r="C451" s="15" t="s">
        <v>340</v>
      </c>
      <c r="D451" s="22"/>
      <c r="E451" s="17">
        <f>SUM(E452+E458)</f>
        <v>405099.39999999997</v>
      </c>
      <c r="F451" s="17">
        <f t="shared" ref="F451:G451" si="192">SUM(F452+F458)</f>
        <v>258222.80000000002</v>
      </c>
      <c r="G451" s="17">
        <f t="shared" si="192"/>
        <v>258850.80000000002</v>
      </c>
    </row>
    <row r="452" spans="1:7" ht="45" x14ac:dyDescent="0.25">
      <c r="A452" s="20" t="s">
        <v>341</v>
      </c>
      <c r="B452" s="14" t="s">
        <v>388</v>
      </c>
      <c r="C452" s="15" t="s">
        <v>342</v>
      </c>
      <c r="D452" s="22"/>
      <c r="E452" s="17">
        <f>SUM(E453+E455)</f>
        <v>270489.8</v>
      </c>
      <c r="F452" s="17">
        <f t="shared" ref="F452:G452" si="193">SUM(F453+F455)</f>
        <v>258222.80000000002</v>
      </c>
      <c r="G452" s="17">
        <f t="shared" si="193"/>
        <v>258850.80000000002</v>
      </c>
    </row>
    <row r="453" spans="1:7" ht="30" x14ac:dyDescent="0.25">
      <c r="A453" s="20" t="s">
        <v>60</v>
      </c>
      <c r="B453" s="14" t="s">
        <v>388</v>
      </c>
      <c r="C453" s="15" t="s">
        <v>343</v>
      </c>
      <c r="D453" s="16"/>
      <c r="E453" s="17">
        <f>SUM(E454)</f>
        <v>212399.3</v>
      </c>
      <c r="F453" s="17">
        <f t="shared" ref="F453:G453" si="194">SUM(F454)</f>
        <v>241309.7</v>
      </c>
      <c r="G453" s="17">
        <f t="shared" si="194"/>
        <v>241937.7</v>
      </c>
    </row>
    <row r="454" spans="1:7" ht="30" x14ac:dyDescent="0.25">
      <c r="A454" s="13" t="s">
        <v>201</v>
      </c>
      <c r="B454" s="14" t="s">
        <v>388</v>
      </c>
      <c r="C454" s="15" t="s">
        <v>343</v>
      </c>
      <c r="D454" s="23">
        <v>600</v>
      </c>
      <c r="E454" s="17">
        <f>234920.3-27587.2+66.2+5000</f>
        <v>212399.3</v>
      </c>
      <c r="F454" s="17">
        <v>241309.7</v>
      </c>
      <c r="G454" s="17">
        <v>241937.7</v>
      </c>
    </row>
    <row r="455" spans="1:7" ht="36.950000000000003" customHeight="1" x14ac:dyDescent="0.25">
      <c r="A455" s="13" t="s">
        <v>389</v>
      </c>
      <c r="B455" s="14" t="s">
        <v>388</v>
      </c>
      <c r="C455" s="15" t="s">
        <v>390</v>
      </c>
      <c r="D455" s="23"/>
      <c r="E455" s="17">
        <f>SUM(E456:E457)</f>
        <v>58090.5</v>
      </c>
      <c r="F455" s="17">
        <f t="shared" ref="F455:G455" si="195">SUM(F456:F457)</f>
        <v>16913.099999999999</v>
      </c>
      <c r="G455" s="17">
        <f t="shared" si="195"/>
        <v>16913.099999999999</v>
      </c>
    </row>
    <row r="456" spans="1:7" ht="32.25" customHeight="1" x14ac:dyDescent="0.25">
      <c r="A456" s="13" t="s">
        <v>201</v>
      </c>
      <c r="B456" s="14" t="s">
        <v>388</v>
      </c>
      <c r="C456" s="15" t="s">
        <v>390</v>
      </c>
      <c r="D456" s="23">
        <v>600</v>
      </c>
      <c r="E456" s="17">
        <f>16221.1-200+692+40240.9+200+136.5</f>
        <v>57290.5</v>
      </c>
      <c r="F456" s="17">
        <f>16221.1-200+692</f>
        <v>16713.099999999999</v>
      </c>
      <c r="G456" s="17">
        <f>16221.1-200+692</f>
        <v>16713.099999999999</v>
      </c>
    </row>
    <row r="457" spans="1:7" ht="30.75" customHeight="1" x14ac:dyDescent="0.25">
      <c r="A457" s="19" t="s">
        <v>39</v>
      </c>
      <c r="B457" s="14" t="s">
        <v>388</v>
      </c>
      <c r="C457" s="15" t="s">
        <v>390</v>
      </c>
      <c r="D457" s="23">
        <v>800</v>
      </c>
      <c r="E457" s="17">
        <f>200+800-200</f>
        <v>800</v>
      </c>
      <c r="F457" s="17">
        <v>200</v>
      </c>
      <c r="G457" s="17">
        <v>200</v>
      </c>
    </row>
    <row r="458" spans="1:7" ht="32.25" customHeight="1" x14ac:dyDescent="0.25">
      <c r="A458" s="13" t="s">
        <v>384</v>
      </c>
      <c r="B458" s="15" t="s">
        <v>388</v>
      </c>
      <c r="C458" s="15" t="s">
        <v>348</v>
      </c>
      <c r="D458" s="23"/>
      <c r="E458" s="17">
        <f>SUM(E459)</f>
        <v>134609.59999999998</v>
      </c>
      <c r="F458" s="17">
        <v>0</v>
      </c>
      <c r="G458" s="17">
        <v>0</v>
      </c>
    </row>
    <row r="459" spans="1:7" ht="45" x14ac:dyDescent="0.25">
      <c r="A459" s="49" t="s">
        <v>658</v>
      </c>
      <c r="B459" s="15" t="s">
        <v>388</v>
      </c>
      <c r="C459" s="15" t="s">
        <v>638</v>
      </c>
      <c r="D459" s="23"/>
      <c r="E459" s="17">
        <f>SUM(E460)</f>
        <v>134609.59999999998</v>
      </c>
      <c r="F459" s="17">
        <f t="shared" ref="F459:G459" si="196">SUM(F460)</f>
        <v>0</v>
      </c>
      <c r="G459" s="17">
        <f t="shared" si="196"/>
        <v>0</v>
      </c>
    </row>
    <row r="460" spans="1:7" ht="37.5" customHeight="1" x14ac:dyDescent="0.25">
      <c r="A460" s="49" t="s">
        <v>578</v>
      </c>
      <c r="B460" s="15" t="s">
        <v>388</v>
      </c>
      <c r="C460" s="15" t="s">
        <v>638</v>
      </c>
      <c r="D460" s="23">
        <v>400</v>
      </c>
      <c r="E460" s="17">
        <f>350-350+35839.7+98769.9</f>
        <v>134609.59999999998</v>
      </c>
      <c r="F460" s="17">
        <v>0</v>
      </c>
      <c r="G460" s="17">
        <v>0</v>
      </c>
    </row>
    <row r="461" spans="1:7" ht="45" x14ac:dyDescent="0.25">
      <c r="A461" s="69" t="s">
        <v>357</v>
      </c>
      <c r="B461" s="15" t="s">
        <v>388</v>
      </c>
      <c r="C461" s="32" t="s">
        <v>358</v>
      </c>
      <c r="D461" s="22"/>
      <c r="E461" s="17">
        <f>SUM(E462)</f>
        <v>56.9</v>
      </c>
      <c r="F461" s="17">
        <f t="shared" ref="F461:G465" si="197">SUM(F462)</f>
        <v>37.4</v>
      </c>
      <c r="G461" s="17">
        <f t="shared" si="197"/>
        <v>37.4</v>
      </c>
    </row>
    <row r="462" spans="1:7" ht="30" x14ac:dyDescent="0.25">
      <c r="A462" s="70" t="s">
        <v>359</v>
      </c>
      <c r="B462" s="14" t="s">
        <v>388</v>
      </c>
      <c r="C462" s="32" t="s">
        <v>360</v>
      </c>
      <c r="D462" s="22"/>
      <c r="E462" s="17">
        <f>SUM(E465)+E463</f>
        <v>56.9</v>
      </c>
      <c r="F462" s="17">
        <f t="shared" ref="F462:G462" si="198">SUM(F465)+F463</f>
        <v>37.4</v>
      </c>
      <c r="G462" s="17">
        <f t="shared" si="198"/>
        <v>37.4</v>
      </c>
    </row>
    <row r="463" spans="1:7" ht="30" x14ac:dyDescent="0.25">
      <c r="A463" s="49" t="s">
        <v>385</v>
      </c>
      <c r="B463" s="32" t="s">
        <v>388</v>
      </c>
      <c r="C463" s="32" t="s">
        <v>386</v>
      </c>
      <c r="D463" s="22"/>
      <c r="E463" s="17">
        <f>E464</f>
        <v>19.5</v>
      </c>
      <c r="F463" s="17">
        <f t="shared" ref="F463:G463" si="199">F464</f>
        <v>0</v>
      </c>
      <c r="G463" s="17">
        <f t="shared" si="199"/>
        <v>0</v>
      </c>
    </row>
    <row r="464" spans="1:7" ht="30" x14ac:dyDescent="0.25">
      <c r="A464" s="13" t="s">
        <v>201</v>
      </c>
      <c r="B464" s="32" t="s">
        <v>388</v>
      </c>
      <c r="C464" s="32" t="s">
        <v>386</v>
      </c>
      <c r="D464" s="22">
        <v>600</v>
      </c>
      <c r="E464" s="17">
        <v>19.5</v>
      </c>
      <c r="F464" s="17"/>
      <c r="G464" s="17"/>
    </row>
    <row r="465" spans="1:7" ht="33" customHeight="1" x14ac:dyDescent="0.25">
      <c r="A465" s="31" t="s">
        <v>361</v>
      </c>
      <c r="B465" s="14" t="s">
        <v>388</v>
      </c>
      <c r="C465" s="32" t="s">
        <v>362</v>
      </c>
      <c r="D465" s="22"/>
      <c r="E465" s="17">
        <f>SUM(E466)</f>
        <v>37.4</v>
      </c>
      <c r="F465" s="17">
        <f t="shared" si="197"/>
        <v>37.4</v>
      </c>
      <c r="G465" s="17">
        <f t="shared" si="197"/>
        <v>37.4</v>
      </c>
    </row>
    <row r="466" spans="1:7" ht="30" x14ac:dyDescent="0.25">
      <c r="A466" s="13" t="s">
        <v>201</v>
      </c>
      <c r="B466" s="14" t="s">
        <v>388</v>
      </c>
      <c r="C466" s="32" t="s">
        <v>362</v>
      </c>
      <c r="D466" s="22">
        <v>600</v>
      </c>
      <c r="E466" s="17">
        <v>37.4</v>
      </c>
      <c r="F466" s="17">
        <v>37.4</v>
      </c>
      <c r="G466" s="17">
        <v>37.4</v>
      </c>
    </row>
    <row r="467" spans="1:7" ht="33" customHeight="1" x14ac:dyDescent="0.25">
      <c r="A467" s="19" t="s">
        <v>391</v>
      </c>
      <c r="B467" s="14" t="s">
        <v>388</v>
      </c>
      <c r="C467" s="72" t="s">
        <v>392</v>
      </c>
      <c r="D467" s="15"/>
      <c r="E467" s="17">
        <f>SUM(E468)</f>
        <v>97977.5</v>
      </c>
      <c r="F467" s="17">
        <f t="shared" ref="F467:G467" si="200">SUM(F468)</f>
        <v>100844.7</v>
      </c>
      <c r="G467" s="17">
        <f t="shared" si="200"/>
        <v>135062.5</v>
      </c>
    </row>
    <row r="468" spans="1:7" x14ac:dyDescent="0.25">
      <c r="A468" s="13" t="s">
        <v>393</v>
      </c>
      <c r="B468" s="14" t="s">
        <v>388</v>
      </c>
      <c r="C468" s="15" t="s">
        <v>394</v>
      </c>
      <c r="D468" s="15"/>
      <c r="E468" s="17">
        <f>SUM(E474)+E469</f>
        <v>97977.5</v>
      </c>
      <c r="F468" s="17">
        <f t="shared" ref="F468:G468" si="201">SUM(F474)+F469</f>
        <v>100844.7</v>
      </c>
      <c r="G468" s="17">
        <f t="shared" si="201"/>
        <v>135062.5</v>
      </c>
    </row>
    <row r="469" spans="1:7" x14ac:dyDescent="0.25">
      <c r="A469" s="13" t="s">
        <v>629</v>
      </c>
      <c r="B469" s="15" t="s">
        <v>388</v>
      </c>
      <c r="C469" s="15" t="s">
        <v>601</v>
      </c>
      <c r="D469" s="15"/>
      <c r="E469" s="17">
        <f>E470+E472</f>
        <v>0</v>
      </c>
      <c r="F469" s="17">
        <f t="shared" ref="F469:G469" si="202">F470+F472</f>
        <v>0</v>
      </c>
      <c r="G469" s="17">
        <f t="shared" si="202"/>
        <v>34162.200000000004</v>
      </c>
    </row>
    <row r="470" spans="1:7" ht="30" x14ac:dyDescent="0.25">
      <c r="A470" s="13" t="s">
        <v>663</v>
      </c>
      <c r="B470" s="15" t="s">
        <v>388</v>
      </c>
      <c r="C470" s="15" t="s">
        <v>602</v>
      </c>
      <c r="D470" s="15"/>
      <c r="E470" s="17">
        <f>E471</f>
        <v>0</v>
      </c>
      <c r="F470" s="17">
        <f t="shared" ref="F470:G470" si="203">F471</f>
        <v>0</v>
      </c>
      <c r="G470" s="17">
        <f t="shared" si="203"/>
        <v>3746.8</v>
      </c>
    </row>
    <row r="471" spans="1:7" ht="30" x14ac:dyDescent="0.25">
      <c r="A471" s="13" t="s">
        <v>201</v>
      </c>
      <c r="B471" s="15" t="s">
        <v>388</v>
      </c>
      <c r="C471" s="15" t="s">
        <v>602</v>
      </c>
      <c r="D471" s="15" t="s">
        <v>346</v>
      </c>
      <c r="E471" s="17">
        <v>0</v>
      </c>
      <c r="F471" s="17">
        <v>0</v>
      </c>
      <c r="G471" s="17">
        <f>3522+224.8</f>
        <v>3746.8</v>
      </c>
    </row>
    <row r="472" spans="1:7" ht="75" x14ac:dyDescent="0.25">
      <c r="A472" s="13" t="s">
        <v>664</v>
      </c>
      <c r="B472" s="15" t="s">
        <v>388</v>
      </c>
      <c r="C472" s="15" t="s">
        <v>643</v>
      </c>
      <c r="D472" s="15"/>
      <c r="E472" s="17">
        <f>E473</f>
        <v>0</v>
      </c>
      <c r="F472" s="17">
        <f t="shared" ref="F472:G472" si="204">F473</f>
        <v>0</v>
      </c>
      <c r="G472" s="17">
        <f t="shared" si="204"/>
        <v>30415.4</v>
      </c>
    </row>
    <row r="473" spans="1:7" ht="30" x14ac:dyDescent="0.25">
      <c r="A473" s="49" t="s">
        <v>578</v>
      </c>
      <c r="B473" s="15" t="s">
        <v>388</v>
      </c>
      <c r="C473" s="15" t="s">
        <v>643</v>
      </c>
      <c r="D473" s="15" t="s">
        <v>529</v>
      </c>
      <c r="E473" s="17">
        <v>0</v>
      </c>
      <c r="F473" s="17">
        <v>0</v>
      </c>
      <c r="G473" s="17">
        <v>30415.4</v>
      </c>
    </row>
    <row r="474" spans="1:7" ht="33.75" customHeight="1" x14ac:dyDescent="0.25">
      <c r="A474" s="13" t="s">
        <v>395</v>
      </c>
      <c r="B474" s="14" t="s">
        <v>388</v>
      </c>
      <c r="C474" s="32" t="s">
        <v>396</v>
      </c>
      <c r="D474" s="15"/>
      <c r="E474" s="17">
        <f>SUM(E475+E477)</f>
        <v>97977.5</v>
      </c>
      <c r="F474" s="17">
        <f>SUM(F475+F477)</f>
        <v>100844.7</v>
      </c>
      <c r="G474" s="17">
        <f>SUM(G475+G477)</f>
        <v>100900.3</v>
      </c>
    </row>
    <row r="475" spans="1:7" ht="30" x14ac:dyDescent="0.25">
      <c r="A475" s="19" t="s">
        <v>60</v>
      </c>
      <c r="B475" s="14" t="s">
        <v>388</v>
      </c>
      <c r="C475" s="15" t="s">
        <v>397</v>
      </c>
      <c r="D475" s="15"/>
      <c r="E475" s="17">
        <f>SUM(E476)</f>
        <v>97977.5</v>
      </c>
      <c r="F475" s="17">
        <f t="shared" ref="F475:G475" si="205">SUM(F476)</f>
        <v>100844.7</v>
      </c>
      <c r="G475" s="17">
        <f t="shared" si="205"/>
        <v>100900.3</v>
      </c>
    </row>
    <row r="476" spans="1:7" ht="30" x14ac:dyDescent="0.25">
      <c r="A476" s="13" t="s">
        <v>201</v>
      </c>
      <c r="B476" s="14" t="s">
        <v>388</v>
      </c>
      <c r="C476" s="15" t="s">
        <v>397</v>
      </c>
      <c r="D476" s="15" t="s">
        <v>346</v>
      </c>
      <c r="E476" s="17">
        <f>101227-136.5-3249.2+136.2</f>
        <v>97977.5</v>
      </c>
      <c r="F476" s="17">
        <v>100844.7</v>
      </c>
      <c r="G476" s="17">
        <v>100900.3</v>
      </c>
    </row>
    <row r="477" spans="1:7" ht="30" hidden="1" x14ac:dyDescent="0.25">
      <c r="A477" s="13" t="s">
        <v>398</v>
      </c>
      <c r="B477" s="14" t="s">
        <v>388</v>
      </c>
      <c r="C477" s="15" t="s">
        <v>399</v>
      </c>
      <c r="D477" s="15"/>
      <c r="E477" s="17">
        <f>SUM(E478)</f>
        <v>0</v>
      </c>
      <c r="F477" s="17">
        <f t="shared" ref="F477:G477" si="206">SUM(F478)</f>
        <v>0</v>
      </c>
      <c r="G477" s="17">
        <f t="shared" si="206"/>
        <v>0</v>
      </c>
    </row>
    <row r="478" spans="1:7" ht="30" hidden="1" x14ac:dyDescent="0.25">
      <c r="A478" s="13" t="s">
        <v>201</v>
      </c>
      <c r="B478" s="14" t="s">
        <v>388</v>
      </c>
      <c r="C478" s="15" t="s">
        <v>399</v>
      </c>
      <c r="D478" s="15" t="s">
        <v>346</v>
      </c>
      <c r="E478" s="17">
        <f>31914.9-30000-1914.9</f>
        <v>0</v>
      </c>
      <c r="F478" s="17">
        <v>0</v>
      </c>
      <c r="G478" s="17">
        <f>28590.5+1824.9-30415.4</f>
        <v>0</v>
      </c>
    </row>
    <row r="479" spans="1:7" s="7" customFormat="1" x14ac:dyDescent="0.25">
      <c r="A479" s="8" t="s">
        <v>400</v>
      </c>
      <c r="B479" s="9" t="s">
        <v>401</v>
      </c>
      <c r="C479" s="10"/>
      <c r="D479" s="11"/>
      <c r="E479" s="12">
        <f>SUM(E480)+E490</f>
        <v>28959.4</v>
      </c>
      <c r="F479" s="12">
        <f t="shared" ref="F479:G479" si="207">SUM(F480)+F490</f>
        <v>32350.2</v>
      </c>
      <c r="G479" s="12">
        <f t="shared" si="207"/>
        <v>25395.599999999999</v>
      </c>
    </row>
    <row r="480" spans="1:7" ht="19.5" customHeight="1" x14ac:dyDescent="0.25">
      <c r="A480" s="13" t="s">
        <v>337</v>
      </c>
      <c r="B480" s="14" t="s">
        <v>401</v>
      </c>
      <c r="C480" s="15" t="s">
        <v>338</v>
      </c>
      <c r="D480" s="16"/>
      <c r="E480" s="17">
        <f>SUM(E481)</f>
        <v>11503.800000000001</v>
      </c>
      <c r="F480" s="17">
        <f t="shared" ref="F480:G481" si="208">SUM(F481)</f>
        <v>14496.5</v>
      </c>
      <c r="G480" s="17">
        <f t="shared" si="208"/>
        <v>7532.3</v>
      </c>
    </row>
    <row r="481" spans="1:7" x14ac:dyDescent="0.25">
      <c r="A481" s="20" t="s">
        <v>402</v>
      </c>
      <c r="B481" s="15" t="s">
        <v>401</v>
      </c>
      <c r="C481" s="15" t="s">
        <v>403</v>
      </c>
      <c r="D481" s="23"/>
      <c r="E481" s="17">
        <f>SUM(E482)</f>
        <v>11503.800000000001</v>
      </c>
      <c r="F481" s="17">
        <f t="shared" si="208"/>
        <v>14496.5</v>
      </c>
      <c r="G481" s="17">
        <f t="shared" si="208"/>
        <v>7532.3</v>
      </c>
    </row>
    <row r="482" spans="1:7" ht="30" x14ac:dyDescent="0.25">
      <c r="A482" s="49" t="s">
        <v>404</v>
      </c>
      <c r="B482" s="32" t="s">
        <v>401</v>
      </c>
      <c r="C482" s="32" t="s">
        <v>405</v>
      </c>
      <c r="D482" s="23"/>
      <c r="E482" s="17">
        <f>SUM(E483+E485+E487)</f>
        <v>11503.800000000001</v>
      </c>
      <c r="F482" s="17">
        <f t="shared" ref="F482:G482" si="209">SUM(F483+F485+F487)</f>
        <v>14496.5</v>
      </c>
      <c r="G482" s="17">
        <f t="shared" si="209"/>
        <v>7532.3</v>
      </c>
    </row>
    <row r="483" spans="1:7" ht="30" x14ac:dyDescent="0.25">
      <c r="A483" s="20" t="s">
        <v>406</v>
      </c>
      <c r="B483" s="15" t="s">
        <v>401</v>
      </c>
      <c r="C483" s="15" t="s">
        <v>407</v>
      </c>
      <c r="D483" s="23"/>
      <c r="E483" s="17">
        <f>SUM(E484)</f>
        <v>0</v>
      </c>
      <c r="F483" s="17">
        <f t="shared" ref="F483:G483" si="210">SUM(F484)</f>
        <v>1000</v>
      </c>
      <c r="G483" s="17">
        <f t="shared" si="210"/>
        <v>1000</v>
      </c>
    </row>
    <row r="484" spans="1:7" ht="30" x14ac:dyDescent="0.25">
      <c r="A484" s="13" t="s">
        <v>201</v>
      </c>
      <c r="B484" s="14" t="s">
        <v>401</v>
      </c>
      <c r="C484" s="15" t="s">
        <v>407</v>
      </c>
      <c r="D484" s="16">
        <v>600</v>
      </c>
      <c r="E484" s="17">
        <f>1700-300-1400</f>
        <v>0</v>
      </c>
      <c r="F484" s="17">
        <v>1000</v>
      </c>
      <c r="G484" s="17">
        <v>1000</v>
      </c>
    </row>
    <row r="485" spans="1:7" ht="30" x14ac:dyDescent="0.25">
      <c r="A485" s="13" t="s">
        <v>408</v>
      </c>
      <c r="B485" s="14" t="s">
        <v>401</v>
      </c>
      <c r="C485" s="15" t="s">
        <v>409</v>
      </c>
      <c r="D485" s="16"/>
      <c r="E485" s="17">
        <f>SUM(E486)</f>
        <v>3534.1</v>
      </c>
      <c r="F485" s="17">
        <f t="shared" ref="F485:G485" si="211">SUM(F486)</f>
        <v>5526.8</v>
      </c>
      <c r="G485" s="17">
        <f t="shared" si="211"/>
        <v>5526.8</v>
      </c>
    </row>
    <row r="486" spans="1:7" x14ac:dyDescent="0.25">
      <c r="A486" s="13" t="s">
        <v>38</v>
      </c>
      <c r="B486" s="14" t="s">
        <v>401</v>
      </c>
      <c r="C486" s="15" t="s">
        <v>409</v>
      </c>
      <c r="D486" s="16">
        <v>300</v>
      </c>
      <c r="E486" s="17">
        <f>3234.1+300</f>
        <v>3534.1</v>
      </c>
      <c r="F486" s="17">
        <v>5526.8</v>
      </c>
      <c r="G486" s="17">
        <v>5526.8</v>
      </c>
    </row>
    <row r="487" spans="1:7" ht="45" x14ac:dyDescent="0.25">
      <c r="A487" s="13" t="s">
        <v>410</v>
      </c>
      <c r="B487" s="14" t="s">
        <v>401</v>
      </c>
      <c r="C487" s="58" t="s">
        <v>411</v>
      </c>
      <c r="D487" s="16"/>
      <c r="E487" s="17">
        <f>SUM(E488:E489)</f>
        <v>7969.7000000000007</v>
      </c>
      <c r="F487" s="17">
        <f t="shared" ref="F487:G487" si="212">SUM(F488:F489)</f>
        <v>7969.7000000000007</v>
      </c>
      <c r="G487" s="17">
        <f t="shared" si="212"/>
        <v>1005.5</v>
      </c>
    </row>
    <row r="488" spans="1:7" ht="30" x14ac:dyDescent="0.25">
      <c r="A488" s="13" t="s">
        <v>31</v>
      </c>
      <c r="B488" s="14" t="s">
        <v>401</v>
      </c>
      <c r="C488" s="58" t="s">
        <v>411</v>
      </c>
      <c r="D488" s="16">
        <v>200</v>
      </c>
      <c r="E488" s="17">
        <f>40+2.6</f>
        <v>42.6</v>
      </c>
      <c r="F488" s="17">
        <f>40+2.6</f>
        <v>42.6</v>
      </c>
      <c r="G488" s="17">
        <f>4+0.2</f>
        <v>4.2</v>
      </c>
    </row>
    <row r="489" spans="1:7" x14ac:dyDescent="0.25">
      <c r="A489" s="13" t="s">
        <v>38</v>
      </c>
      <c r="B489" s="14" t="s">
        <v>401</v>
      </c>
      <c r="C489" s="58" t="s">
        <v>411</v>
      </c>
      <c r="D489" s="16">
        <v>300</v>
      </c>
      <c r="E489" s="17">
        <f>7929.6-2.5</f>
        <v>7927.1</v>
      </c>
      <c r="F489" s="17">
        <f>7929.6-2.5</f>
        <v>7927.1</v>
      </c>
      <c r="G489" s="17">
        <f>1001.5-0.2</f>
        <v>1001.3</v>
      </c>
    </row>
    <row r="490" spans="1:7" ht="30" x14ac:dyDescent="0.25">
      <c r="A490" s="13" t="s">
        <v>412</v>
      </c>
      <c r="B490" s="14" t="s">
        <v>401</v>
      </c>
      <c r="C490" s="15" t="s">
        <v>413</v>
      </c>
      <c r="D490" s="14"/>
      <c r="E490" s="17">
        <f>SUM(E491+E497)</f>
        <v>17455.599999999999</v>
      </c>
      <c r="F490" s="17">
        <f t="shared" ref="F490:G490" si="213">SUM(F491+F497)</f>
        <v>17853.7</v>
      </c>
      <c r="G490" s="17">
        <f t="shared" si="213"/>
        <v>17863.3</v>
      </c>
    </row>
    <row r="491" spans="1:7" ht="30" x14ac:dyDescent="0.25">
      <c r="A491" s="13" t="s">
        <v>414</v>
      </c>
      <c r="B491" s="14" t="s">
        <v>401</v>
      </c>
      <c r="C491" s="15" t="s">
        <v>415</v>
      </c>
      <c r="D491" s="16"/>
      <c r="E491" s="17">
        <f>SUM(E492+E494)</f>
        <v>1564.5</v>
      </c>
      <c r="F491" s="17">
        <f t="shared" ref="F491:G491" si="214">SUM(F492+F494)</f>
        <v>1520.9</v>
      </c>
      <c r="G491" s="17">
        <f t="shared" si="214"/>
        <v>1520.9</v>
      </c>
    </row>
    <row r="492" spans="1:7" x14ac:dyDescent="0.25">
      <c r="A492" s="13" t="s">
        <v>416</v>
      </c>
      <c r="B492" s="14" t="s">
        <v>401</v>
      </c>
      <c r="C492" s="15" t="s">
        <v>417</v>
      </c>
      <c r="D492" s="16"/>
      <c r="E492" s="17">
        <f>SUM(E493)</f>
        <v>1364.5</v>
      </c>
      <c r="F492" s="17">
        <f t="shared" ref="F492:G492" si="215">SUM(F493)</f>
        <v>1320.9</v>
      </c>
      <c r="G492" s="17">
        <f t="shared" si="215"/>
        <v>1320.9</v>
      </c>
    </row>
    <row r="493" spans="1:7" ht="30" x14ac:dyDescent="0.25">
      <c r="A493" s="13" t="s">
        <v>31</v>
      </c>
      <c r="B493" s="14" t="s">
        <v>401</v>
      </c>
      <c r="C493" s="15" t="s">
        <v>417</v>
      </c>
      <c r="D493" s="16">
        <v>200</v>
      </c>
      <c r="E493" s="17">
        <f>864.5+500</f>
        <v>1364.5</v>
      </c>
      <c r="F493" s="17">
        <v>1320.9</v>
      </c>
      <c r="G493" s="17">
        <v>1320.9</v>
      </c>
    </row>
    <row r="494" spans="1:7" x14ac:dyDescent="0.25">
      <c r="A494" s="49" t="s">
        <v>418</v>
      </c>
      <c r="B494" s="14" t="s">
        <v>401</v>
      </c>
      <c r="C494" s="15" t="s">
        <v>419</v>
      </c>
      <c r="D494" s="16"/>
      <c r="E494" s="17">
        <f>SUM(E495:E496)</f>
        <v>200</v>
      </c>
      <c r="F494" s="17">
        <f t="shared" ref="F494:G494" si="216">SUM(F495:F496)</f>
        <v>200</v>
      </c>
      <c r="G494" s="17">
        <f t="shared" si="216"/>
        <v>200</v>
      </c>
    </row>
    <row r="495" spans="1:7" x14ac:dyDescent="0.25">
      <c r="A495" s="13" t="s">
        <v>38</v>
      </c>
      <c r="B495" s="14" t="s">
        <v>401</v>
      </c>
      <c r="C495" s="15" t="s">
        <v>419</v>
      </c>
      <c r="D495" s="16">
        <v>300</v>
      </c>
      <c r="E495" s="17">
        <v>100</v>
      </c>
      <c r="F495" s="17">
        <v>100</v>
      </c>
      <c r="G495" s="17">
        <v>100</v>
      </c>
    </row>
    <row r="496" spans="1:7" ht="33" customHeight="1" x14ac:dyDescent="0.25">
      <c r="A496" s="13" t="s">
        <v>201</v>
      </c>
      <c r="B496" s="14" t="s">
        <v>401</v>
      </c>
      <c r="C496" s="15" t="s">
        <v>419</v>
      </c>
      <c r="D496" s="16">
        <v>600</v>
      </c>
      <c r="E496" s="17">
        <v>100</v>
      </c>
      <c r="F496" s="17">
        <v>100</v>
      </c>
      <c r="G496" s="17">
        <v>100</v>
      </c>
    </row>
    <row r="497" spans="1:7" ht="33" customHeight="1" x14ac:dyDescent="0.25">
      <c r="A497" s="13" t="s">
        <v>420</v>
      </c>
      <c r="B497" s="14" t="s">
        <v>401</v>
      </c>
      <c r="C497" s="15" t="s">
        <v>421</v>
      </c>
      <c r="D497" s="16"/>
      <c r="E497" s="17">
        <f>SUM(E498)</f>
        <v>15891.1</v>
      </c>
      <c r="F497" s="17">
        <f t="shared" ref="F497:G498" si="217">SUM(F498)</f>
        <v>16332.8</v>
      </c>
      <c r="G497" s="17">
        <f t="shared" si="217"/>
        <v>16342.4</v>
      </c>
    </row>
    <row r="498" spans="1:7" ht="33" customHeight="1" x14ac:dyDescent="0.25">
      <c r="A498" s="13" t="s">
        <v>72</v>
      </c>
      <c r="B498" s="14" t="s">
        <v>401</v>
      </c>
      <c r="C498" s="15" t="s">
        <v>422</v>
      </c>
      <c r="D498" s="16"/>
      <c r="E498" s="17">
        <f>SUM(E499)</f>
        <v>15891.1</v>
      </c>
      <c r="F498" s="17">
        <f t="shared" si="217"/>
        <v>16332.8</v>
      </c>
      <c r="G498" s="17">
        <f t="shared" si="217"/>
        <v>16342.4</v>
      </c>
    </row>
    <row r="499" spans="1:7" ht="33" customHeight="1" x14ac:dyDescent="0.25">
      <c r="A499" s="13" t="s">
        <v>201</v>
      </c>
      <c r="B499" s="14" t="s">
        <v>401</v>
      </c>
      <c r="C499" s="15" t="s">
        <v>422</v>
      </c>
      <c r="D499" s="16">
        <v>600</v>
      </c>
      <c r="E499" s="17">
        <f>15566+290+35.1</f>
        <v>15891.1</v>
      </c>
      <c r="F499" s="17">
        <v>16332.8</v>
      </c>
      <c r="G499" s="17">
        <v>16342.4</v>
      </c>
    </row>
    <row r="500" spans="1:7" s="7" customFormat="1" ht="18" customHeight="1" x14ac:dyDescent="0.25">
      <c r="A500" s="8" t="s">
        <v>423</v>
      </c>
      <c r="B500" s="9" t="s">
        <v>424</v>
      </c>
      <c r="C500" s="73"/>
      <c r="D500" s="11"/>
      <c r="E500" s="12">
        <f>SUM(E501)</f>
        <v>122821.9</v>
      </c>
      <c r="F500" s="12">
        <f t="shared" ref="F500:G500" si="218">SUM(F501)</f>
        <v>122563.9</v>
      </c>
      <c r="G500" s="12">
        <f t="shared" si="218"/>
        <v>122587.2</v>
      </c>
    </row>
    <row r="501" spans="1:7" ht="18.95" customHeight="1" x14ac:dyDescent="0.25">
      <c r="A501" s="13" t="s">
        <v>337</v>
      </c>
      <c r="B501" s="15" t="s">
        <v>424</v>
      </c>
      <c r="C501" s="15" t="s">
        <v>338</v>
      </c>
      <c r="D501" s="23"/>
      <c r="E501" s="17">
        <f>SUM(E502+E513+E530)</f>
        <v>122821.9</v>
      </c>
      <c r="F501" s="17">
        <f>SUM(F502+F513+F530)</f>
        <v>122563.9</v>
      </c>
      <c r="G501" s="17">
        <f>SUM(G502+G513+G530)</f>
        <v>122587.2</v>
      </c>
    </row>
    <row r="502" spans="1:7" ht="33" customHeight="1" x14ac:dyDescent="0.25">
      <c r="A502" s="19" t="s">
        <v>339</v>
      </c>
      <c r="B502" s="14" t="s">
        <v>424</v>
      </c>
      <c r="C502" s="15" t="s">
        <v>340</v>
      </c>
      <c r="D502" s="23"/>
      <c r="E502" s="17">
        <f>SUM(E503)</f>
        <v>3577.2000000000003</v>
      </c>
      <c r="F502" s="17">
        <f t="shared" ref="F502:G502" si="219">SUM(F503)</f>
        <v>3626.3</v>
      </c>
      <c r="G502" s="17">
        <f t="shared" si="219"/>
        <v>3647.3</v>
      </c>
    </row>
    <row r="503" spans="1:7" ht="30.75" customHeight="1" x14ac:dyDescent="0.25">
      <c r="A503" s="20" t="s">
        <v>341</v>
      </c>
      <c r="B503" s="14" t="s">
        <v>424</v>
      </c>
      <c r="C503" s="15" t="s">
        <v>342</v>
      </c>
      <c r="D503" s="23"/>
      <c r="E503" s="17">
        <f>SUM(E506+E508+E510)+E504</f>
        <v>3577.2000000000003</v>
      </c>
      <c r="F503" s="17">
        <f t="shared" ref="F503:G503" si="220">SUM(F506+F508+F510)+F504</f>
        <v>3626.3</v>
      </c>
      <c r="G503" s="17">
        <f t="shared" si="220"/>
        <v>3647.3</v>
      </c>
    </row>
    <row r="504" spans="1:7" ht="47.25" hidden="1" customHeight="1" x14ac:dyDescent="0.25">
      <c r="A504" s="20" t="s">
        <v>665</v>
      </c>
      <c r="B504" s="15" t="s">
        <v>424</v>
      </c>
      <c r="C504" s="15" t="s">
        <v>617</v>
      </c>
      <c r="D504" s="23"/>
      <c r="E504" s="17">
        <f>E505</f>
        <v>0</v>
      </c>
      <c r="F504" s="17">
        <f t="shared" ref="F504:G504" si="221">F505</f>
        <v>0</v>
      </c>
      <c r="G504" s="17">
        <f t="shared" si="221"/>
        <v>0</v>
      </c>
    </row>
    <row r="505" spans="1:7" ht="24" hidden="1" customHeight="1" x14ac:dyDescent="0.25">
      <c r="A505" s="20" t="s">
        <v>39</v>
      </c>
      <c r="B505" s="15" t="s">
        <v>424</v>
      </c>
      <c r="C505" s="15" t="s">
        <v>617</v>
      </c>
      <c r="D505" s="23">
        <v>800</v>
      </c>
      <c r="E505" s="17">
        <f>5570.3-5570.3</f>
        <v>0</v>
      </c>
      <c r="F505" s="17">
        <v>0</v>
      </c>
      <c r="G505" s="17">
        <v>0</v>
      </c>
    </row>
    <row r="506" spans="1:7" ht="65.25" customHeight="1" x14ac:dyDescent="0.25">
      <c r="A506" s="74" t="s">
        <v>425</v>
      </c>
      <c r="B506" s="15" t="s">
        <v>424</v>
      </c>
      <c r="C506" s="15" t="s">
        <v>426</v>
      </c>
      <c r="D506" s="23"/>
      <c r="E506" s="17">
        <f>SUM(E507)</f>
        <v>801.1</v>
      </c>
      <c r="F506" s="17">
        <f t="shared" ref="F506:G506" si="222">SUM(F507)</f>
        <v>801.8</v>
      </c>
      <c r="G506" s="17">
        <f t="shared" si="222"/>
        <v>801.8</v>
      </c>
    </row>
    <row r="507" spans="1:7" ht="33" customHeight="1" x14ac:dyDescent="0.25">
      <c r="A507" s="13" t="s">
        <v>31</v>
      </c>
      <c r="B507" s="15" t="s">
        <v>424</v>
      </c>
      <c r="C507" s="15" t="s">
        <v>426</v>
      </c>
      <c r="D507" s="23">
        <v>200</v>
      </c>
      <c r="E507" s="17">
        <v>801.1</v>
      </c>
      <c r="F507" s="17">
        <v>801.8</v>
      </c>
      <c r="G507" s="17">
        <v>801.8</v>
      </c>
    </row>
    <row r="508" spans="1:7" ht="83.25" customHeight="1" x14ac:dyDescent="0.25">
      <c r="A508" s="13" t="s">
        <v>380</v>
      </c>
      <c r="B508" s="15" t="s">
        <v>424</v>
      </c>
      <c r="C508" s="15" t="s">
        <v>381</v>
      </c>
      <c r="D508" s="23"/>
      <c r="E508" s="17">
        <f>SUM(E509)</f>
        <v>1401.2</v>
      </c>
      <c r="F508" s="17">
        <f t="shared" ref="F508:G508" si="223">SUM(F509)</f>
        <v>1401.2</v>
      </c>
      <c r="G508" s="17">
        <f t="shared" si="223"/>
        <v>1401.2</v>
      </c>
    </row>
    <row r="509" spans="1:7" ht="33" customHeight="1" x14ac:dyDescent="0.25">
      <c r="A509" s="13" t="s">
        <v>31</v>
      </c>
      <c r="B509" s="15" t="s">
        <v>424</v>
      </c>
      <c r="C509" s="15" t="s">
        <v>381</v>
      </c>
      <c r="D509" s="23">
        <v>200</v>
      </c>
      <c r="E509" s="17">
        <f>1372.4+28.8</f>
        <v>1401.2</v>
      </c>
      <c r="F509" s="17">
        <f>1372.4+28.8</f>
        <v>1401.2</v>
      </c>
      <c r="G509" s="17">
        <v>1401.2</v>
      </c>
    </row>
    <row r="510" spans="1:7" ht="66" customHeight="1" x14ac:dyDescent="0.25">
      <c r="A510" s="13" t="s">
        <v>427</v>
      </c>
      <c r="B510" s="15" t="s">
        <v>424</v>
      </c>
      <c r="C510" s="15" t="s">
        <v>428</v>
      </c>
      <c r="D510" s="15"/>
      <c r="E510" s="17">
        <f>E511+E512</f>
        <v>1374.9</v>
      </c>
      <c r="F510" s="17">
        <f t="shared" ref="F510:G510" si="224">F511+F512</f>
        <v>1423.3</v>
      </c>
      <c r="G510" s="17">
        <f t="shared" si="224"/>
        <v>1444.3</v>
      </c>
    </row>
    <row r="511" spans="1:7" ht="35.25" customHeight="1" x14ac:dyDescent="0.25">
      <c r="A511" s="13" t="s">
        <v>31</v>
      </c>
      <c r="B511" s="15" t="s">
        <v>424</v>
      </c>
      <c r="C511" s="15" t="s">
        <v>428</v>
      </c>
      <c r="D511" s="15" t="s">
        <v>45</v>
      </c>
      <c r="E511" s="17">
        <v>1374.9</v>
      </c>
      <c r="F511" s="17">
        <v>1423.3</v>
      </c>
      <c r="G511" s="17">
        <v>1444.3</v>
      </c>
    </row>
    <row r="512" spans="1:7" ht="33" customHeight="1" x14ac:dyDescent="0.25">
      <c r="A512" s="13" t="s">
        <v>201</v>
      </c>
      <c r="B512" s="15" t="s">
        <v>424</v>
      </c>
      <c r="C512" s="15" t="s">
        <v>428</v>
      </c>
      <c r="D512" s="15" t="s">
        <v>346</v>
      </c>
      <c r="E512" s="17">
        <f>1374.9-1374.9</f>
        <v>0</v>
      </c>
      <c r="F512" s="17">
        <f>1423.3-1423.3</f>
        <v>0</v>
      </c>
      <c r="G512" s="17">
        <v>0</v>
      </c>
    </row>
    <row r="513" spans="1:7" ht="17.25" customHeight="1" x14ac:dyDescent="0.25">
      <c r="A513" s="20" t="s">
        <v>402</v>
      </c>
      <c r="B513" s="15" t="s">
        <v>424</v>
      </c>
      <c r="C513" s="32" t="s">
        <v>403</v>
      </c>
      <c r="D513" s="23"/>
      <c r="E513" s="17">
        <f>SUM(E514+E526)</f>
        <v>16440.8</v>
      </c>
      <c r="F513" s="17">
        <f t="shared" ref="F513:G513" si="225">SUM(F514+F526)</f>
        <v>16640.099999999999</v>
      </c>
      <c r="G513" s="17">
        <f t="shared" si="225"/>
        <v>16642.400000000001</v>
      </c>
    </row>
    <row r="514" spans="1:7" ht="33" customHeight="1" x14ac:dyDescent="0.25">
      <c r="A514" s="49" t="s">
        <v>429</v>
      </c>
      <c r="B514" s="15" t="s">
        <v>424</v>
      </c>
      <c r="C514" s="32" t="s">
        <v>430</v>
      </c>
      <c r="D514" s="23"/>
      <c r="E514" s="17">
        <f>SUM(E515+E518+E520+E523)</f>
        <v>16281.9</v>
      </c>
      <c r="F514" s="17">
        <f t="shared" ref="F514:G514" si="226">SUM(F515+F518+F520+F523)</f>
        <v>16305.3</v>
      </c>
      <c r="G514" s="17">
        <f t="shared" si="226"/>
        <v>16307.6</v>
      </c>
    </row>
    <row r="515" spans="1:7" ht="49.7" customHeight="1" x14ac:dyDescent="0.25">
      <c r="A515" s="13" t="s">
        <v>431</v>
      </c>
      <c r="B515" s="14" t="s">
        <v>424</v>
      </c>
      <c r="C515" s="15" t="s">
        <v>432</v>
      </c>
      <c r="D515" s="23"/>
      <c r="E515" s="17">
        <f>E517+E516</f>
        <v>107.9</v>
      </c>
      <c r="F515" s="17">
        <f t="shared" ref="F515:G515" si="227">F517+F516</f>
        <v>103.9</v>
      </c>
      <c r="G515" s="17">
        <f t="shared" si="227"/>
        <v>106.2</v>
      </c>
    </row>
    <row r="516" spans="1:7" ht="49.7" customHeight="1" x14ac:dyDescent="0.25">
      <c r="A516" s="13" t="s">
        <v>31</v>
      </c>
      <c r="B516" s="15" t="s">
        <v>424</v>
      </c>
      <c r="C516" s="15" t="s">
        <v>432</v>
      </c>
      <c r="D516" s="23">
        <v>200</v>
      </c>
      <c r="E516" s="17">
        <v>107.9</v>
      </c>
      <c r="F516" s="17">
        <v>103.9</v>
      </c>
      <c r="G516" s="17">
        <v>106.2</v>
      </c>
    </row>
    <row r="517" spans="1:7" ht="16.5" hidden="1" customHeight="1" x14ac:dyDescent="0.25">
      <c r="A517" s="13" t="s">
        <v>38</v>
      </c>
      <c r="B517" s="14" t="s">
        <v>424</v>
      </c>
      <c r="C517" s="15" t="s">
        <v>432</v>
      </c>
      <c r="D517" s="23">
        <v>300</v>
      </c>
      <c r="E517" s="17">
        <f>117.9-117.9</f>
        <v>0</v>
      </c>
      <c r="F517" s="17">
        <f>119.2-0.1-119.1</f>
        <v>0</v>
      </c>
      <c r="G517" s="17">
        <f>122-0.2-121.8</f>
        <v>0</v>
      </c>
    </row>
    <row r="518" spans="1:7" ht="66" customHeight="1" x14ac:dyDescent="0.25">
      <c r="A518" s="13" t="s">
        <v>433</v>
      </c>
      <c r="B518" s="14" t="s">
        <v>424</v>
      </c>
      <c r="C518" s="15" t="s">
        <v>434</v>
      </c>
      <c r="D518" s="16"/>
      <c r="E518" s="17">
        <f>SUM(E519)</f>
        <v>3.9</v>
      </c>
      <c r="F518" s="17">
        <f t="shared" ref="F518:G518" si="228">SUM(F519)</f>
        <v>4</v>
      </c>
      <c r="G518" s="17">
        <f t="shared" si="228"/>
        <v>4</v>
      </c>
    </row>
    <row r="519" spans="1:7" ht="33" customHeight="1" x14ac:dyDescent="0.25">
      <c r="A519" s="13" t="s">
        <v>31</v>
      </c>
      <c r="B519" s="14" t="s">
        <v>424</v>
      </c>
      <c r="C519" s="15" t="s">
        <v>434</v>
      </c>
      <c r="D519" s="16">
        <v>200</v>
      </c>
      <c r="E519" s="17">
        <f>4-0.1</f>
        <v>3.9</v>
      </c>
      <c r="F519" s="17">
        <v>4</v>
      </c>
      <c r="G519" s="17">
        <v>4</v>
      </c>
    </row>
    <row r="520" spans="1:7" ht="51.75" customHeight="1" x14ac:dyDescent="0.25">
      <c r="A520" s="59" t="s">
        <v>667</v>
      </c>
      <c r="B520" s="15" t="s">
        <v>424</v>
      </c>
      <c r="C520" s="32" t="s">
        <v>435</v>
      </c>
      <c r="D520" s="23"/>
      <c r="E520" s="17">
        <f>SUM(E521:E522)</f>
        <v>15364.5</v>
      </c>
      <c r="F520" s="17">
        <f t="shared" ref="F520:G520" si="229">SUM(F521:F522)</f>
        <v>15364.5</v>
      </c>
      <c r="G520" s="17">
        <f t="shared" si="229"/>
        <v>15364.5</v>
      </c>
    </row>
    <row r="521" spans="1:7" ht="64.5" customHeight="1" x14ac:dyDescent="0.25">
      <c r="A521" s="13" t="s">
        <v>20</v>
      </c>
      <c r="B521" s="15" t="s">
        <v>424</v>
      </c>
      <c r="C521" s="32" t="s">
        <v>435</v>
      </c>
      <c r="D521" s="22">
        <v>100</v>
      </c>
      <c r="E521" s="17">
        <f>9006.2+440</f>
        <v>9446.2000000000007</v>
      </c>
      <c r="F521" s="17">
        <f>9006.2+488</f>
        <v>9494.2000000000007</v>
      </c>
      <c r="G521" s="17">
        <f>9006.2+488</f>
        <v>9494.2000000000007</v>
      </c>
    </row>
    <row r="522" spans="1:7" ht="33" customHeight="1" x14ac:dyDescent="0.25">
      <c r="A522" s="13" t="s">
        <v>31</v>
      </c>
      <c r="B522" s="14" t="s">
        <v>424</v>
      </c>
      <c r="C522" s="32" t="s">
        <v>435</v>
      </c>
      <c r="D522" s="22">
        <v>200</v>
      </c>
      <c r="E522" s="17">
        <f>119.4+6238.9-440</f>
        <v>5918.2999999999993</v>
      </c>
      <c r="F522" s="17">
        <f>119.4+6238.9-488</f>
        <v>5870.2999999999993</v>
      </c>
      <c r="G522" s="17">
        <f>119.4+6238.9-488</f>
        <v>5870.2999999999993</v>
      </c>
    </row>
    <row r="523" spans="1:7" ht="65.25" customHeight="1" x14ac:dyDescent="0.25">
      <c r="A523" s="13" t="s">
        <v>436</v>
      </c>
      <c r="B523" s="14" t="s">
        <v>424</v>
      </c>
      <c r="C523" s="15" t="s">
        <v>437</v>
      </c>
      <c r="D523" s="22"/>
      <c r="E523" s="17">
        <f>SUM(E525)+E524</f>
        <v>805.6</v>
      </c>
      <c r="F523" s="17">
        <f t="shared" ref="F523:G523" si="230">SUM(F525)+F524</f>
        <v>832.90000000000009</v>
      </c>
      <c r="G523" s="17">
        <f t="shared" si="230"/>
        <v>832.90000000000009</v>
      </c>
    </row>
    <row r="524" spans="1:7" ht="65.25" hidden="1" customHeight="1" x14ac:dyDescent="0.25">
      <c r="A524" s="13" t="s">
        <v>20</v>
      </c>
      <c r="B524" s="15" t="s">
        <v>424</v>
      </c>
      <c r="C524" s="15" t="s">
        <v>437</v>
      </c>
      <c r="D524" s="22">
        <v>100</v>
      </c>
      <c r="E524" s="17"/>
      <c r="F524" s="17"/>
      <c r="G524" s="17"/>
    </row>
    <row r="525" spans="1:7" ht="33" customHeight="1" x14ac:dyDescent="0.25">
      <c r="A525" s="13" t="s">
        <v>31</v>
      </c>
      <c r="B525" s="14" t="s">
        <v>424</v>
      </c>
      <c r="C525" s="15" t="s">
        <v>437</v>
      </c>
      <c r="D525" s="22">
        <v>200</v>
      </c>
      <c r="E525" s="17">
        <f>805.7-0.1</f>
        <v>805.6</v>
      </c>
      <c r="F525" s="17">
        <f>835.2-2.3</f>
        <v>832.90000000000009</v>
      </c>
      <c r="G525" s="17">
        <f>835.2-2.3</f>
        <v>832.90000000000009</v>
      </c>
    </row>
    <row r="526" spans="1:7" ht="33" customHeight="1" x14ac:dyDescent="0.25">
      <c r="A526" s="75" t="s">
        <v>438</v>
      </c>
      <c r="B526" s="14" t="s">
        <v>424</v>
      </c>
      <c r="C526" s="58" t="s">
        <v>439</v>
      </c>
      <c r="D526" s="22"/>
      <c r="E526" s="17">
        <f>SUM(E527)</f>
        <v>158.9</v>
      </c>
      <c r="F526" s="17">
        <f t="shared" ref="F526:G526" si="231">SUM(F527)</f>
        <v>334.8</v>
      </c>
      <c r="G526" s="17">
        <f t="shared" si="231"/>
        <v>334.8</v>
      </c>
    </row>
    <row r="527" spans="1:7" ht="30" x14ac:dyDescent="0.25">
      <c r="A527" s="75" t="s">
        <v>440</v>
      </c>
      <c r="B527" s="14" t="s">
        <v>424</v>
      </c>
      <c r="C527" s="58" t="s">
        <v>441</v>
      </c>
      <c r="D527" s="22"/>
      <c r="E527" s="17">
        <f>SUM(E528)+E529</f>
        <v>158.9</v>
      </c>
      <c r="F527" s="17">
        <f t="shared" ref="F527:G527" si="232">SUM(F528)+F529</f>
        <v>334.8</v>
      </c>
      <c r="G527" s="17">
        <f t="shared" si="232"/>
        <v>334.8</v>
      </c>
    </row>
    <row r="528" spans="1:7" ht="30" x14ac:dyDescent="0.25">
      <c r="A528" s="13" t="s">
        <v>31</v>
      </c>
      <c r="B528" s="14" t="s">
        <v>424</v>
      </c>
      <c r="C528" s="58" t="s">
        <v>441</v>
      </c>
      <c r="D528" s="22">
        <v>200</v>
      </c>
      <c r="E528" s="17">
        <f>234.4-234.4</f>
        <v>0</v>
      </c>
      <c r="F528" s="17">
        <f>334.8-334.8</f>
        <v>0</v>
      </c>
      <c r="G528" s="17">
        <f>334.8-334.8</f>
        <v>0</v>
      </c>
    </row>
    <row r="529" spans="1:7" ht="30" x14ac:dyDescent="0.25">
      <c r="A529" s="13" t="s">
        <v>201</v>
      </c>
      <c r="B529" s="15" t="s">
        <v>424</v>
      </c>
      <c r="C529" s="58" t="s">
        <v>441</v>
      </c>
      <c r="D529" s="22">
        <v>600</v>
      </c>
      <c r="E529" s="17">
        <v>158.9</v>
      </c>
      <c r="F529" s="17">
        <v>334.8</v>
      </c>
      <c r="G529" s="17">
        <v>334.8</v>
      </c>
    </row>
    <row r="530" spans="1:7" ht="45" x14ac:dyDescent="0.25">
      <c r="A530" s="13" t="s">
        <v>442</v>
      </c>
      <c r="B530" s="14" t="s">
        <v>424</v>
      </c>
      <c r="C530" s="32" t="s">
        <v>358</v>
      </c>
      <c r="D530" s="16"/>
      <c r="E530" s="17">
        <f>SUM(E531+E542)</f>
        <v>102803.9</v>
      </c>
      <c r="F530" s="17">
        <f t="shared" ref="F530:G530" si="233">SUM(F531+F542)</f>
        <v>102297.5</v>
      </c>
      <c r="G530" s="17">
        <f t="shared" si="233"/>
        <v>102297.5</v>
      </c>
    </row>
    <row r="531" spans="1:7" x14ac:dyDescent="0.25">
      <c r="A531" s="13" t="s">
        <v>443</v>
      </c>
      <c r="B531" s="14" t="s">
        <v>424</v>
      </c>
      <c r="C531" s="32" t="s">
        <v>444</v>
      </c>
      <c r="D531" s="16"/>
      <c r="E531" s="17">
        <f>SUM(E532+E537)</f>
        <v>102803.9</v>
      </c>
      <c r="F531" s="17">
        <f t="shared" ref="F531:G531" si="234">SUM(F532+F537)</f>
        <v>101791.5</v>
      </c>
      <c r="G531" s="17">
        <f t="shared" si="234"/>
        <v>101791.5</v>
      </c>
    </row>
    <row r="532" spans="1:7" ht="30" x14ac:dyDescent="0.25">
      <c r="A532" s="20" t="s">
        <v>36</v>
      </c>
      <c r="B532" s="14" t="s">
        <v>424</v>
      </c>
      <c r="C532" s="58" t="s">
        <v>445</v>
      </c>
      <c r="D532" s="16"/>
      <c r="E532" s="17">
        <f>SUM(E533:E536)</f>
        <v>30419.600000000002</v>
      </c>
      <c r="F532" s="17">
        <f>SUM(F533:F536)</f>
        <v>29975.599999999999</v>
      </c>
      <c r="G532" s="17">
        <f>SUM(G533:G536)</f>
        <v>29975.599999999999</v>
      </c>
    </row>
    <row r="533" spans="1:7" ht="60" x14ac:dyDescent="0.25">
      <c r="A533" s="13" t="s">
        <v>20</v>
      </c>
      <c r="B533" s="14" t="s">
        <v>424</v>
      </c>
      <c r="C533" s="58" t="s">
        <v>445</v>
      </c>
      <c r="D533" s="16">
        <v>100</v>
      </c>
      <c r="E533" s="17">
        <f>29057.7-287.1-254.3+254.3</f>
        <v>28770.600000000002</v>
      </c>
      <c r="F533" s="17">
        <f>29919.1-1148.5</f>
        <v>28770.6</v>
      </c>
      <c r="G533" s="17">
        <f>29919.1-1148.5</f>
        <v>28770.6</v>
      </c>
    </row>
    <row r="534" spans="1:7" ht="30" x14ac:dyDescent="0.25">
      <c r="A534" s="13" t="s">
        <v>31</v>
      </c>
      <c r="B534" s="14" t="s">
        <v>424</v>
      </c>
      <c r="C534" s="58" t="s">
        <v>445</v>
      </c>
      <c r="D534" s="16">
        <v>200</v>
      </c>
      <c r="E534" s="17">
        <v>896.2</v>
      </c>
      <c r="F534" s="17">
        <v>1204.4000000000001</v>
      </c>
      <c r="G534" s="17">
        <v>1204.4000000000001</v>
      </c>
    </row>
    <row r="535" spans="1:7" x14ac:dyDescent="0.25">
      <c r="A535" s="13" t="s">
        <v>38</v>
      </c>
      <c r="B535" s="15" t="s">
        <v>424</v>
      </c>
      <c r="C535" s="58" t="s">
        <v>445</v>
      </c>
      <c r="D535" s="23">
        <v>300</v>
      </c>
      <c r="E535" s="17">
        <f>254.3+497.9</f>
        <v>752.2</v>
      </c>
      <c r="F535" s="17">
        <v>0</v>
      </c>
      <c r="G535" s="17">
        <v>0</v>
      </c>
    </row>
    <row r="536" spans="1:7" x14ac:dyDescent="0.25">
      <c r="A536" s="20" t="s">
        <v>39</v>
      </c>
      <c r="B536" s="14" t="s">
        <v>424</v>
      </c>
      <c r="C536" s="58" t="s">
        <v>445</v>
      </c>
      <c r="D536" s="16">
        <v>800</v>
      </c>
      <c r="E536" s="17">
        <v>0.6</v>
      </c>
      <c r="F536" s="17">
        <v>0.6</v>
      </c>
      <c r="G536" s="17">
        <v>0.6</v>
      </c>
    </row>
    <row r="537" spans="1:7" ht="30" x14ac:dyDescent="0.25">
      <c r="A537" s="20" t="s">
        <v>60</v>
      </c>
      <c r="B537" s="14" t="s">
        <v>424</v>
      </c>
      <c r="C537" s="58" t="s">
        <v>446</v>
      </c>
      <c r="D537" s="16"/>
      <c r="E537" s="17">
        <f>SUM(E538:E541)</f>
        <v>72384.299999999988</v>
      </c>
      <c r="F537" s="17">
        <f t="shared" ref="F537:G537" si="235">SUM(F538:F541)</f>
        <v>71815.900000000009</v>
      </c>
      <c r="G537" s="17">
        <f t="shared" si="235"/>
        <v>71815.900000000009</v>
      </c>
    </row>
    <row r="538" spans="1:7" ht="72.95" customHeight="1" x14ac:dyDescent="0.25">
      <c r="A538" s="13" t="s">
        <v>20</v>
      </c>
      <c r="B538" s="14" t="s">
        <v>424</v>
      </c>
      <c r="C538" s="58" t="s">
        <v>446</v>
      </c>
      <c r="D538" s="16">
        <v>100</v>
      </c>
      <c r="E538" s="17">
        <f>61675.1+2208.9</f>
        <v>63884</v>
      </c>
      <c r="F538" s="17">
        <v>63506.9</v>
      </c>
      <c r="G538" s="17">
        <v>63506.9</v>
      </c>
    </row>
    <row r="539" spans="1:7" ht="30" x14ac:dyDescent="0.25">
      <c r="A539" s="13" t="s">
        <v>31</v>
      </c>
      <c r="B539" s="14" t="s">
        <v>424</v>
      </c>
      <c r="C539" s="58" t="s">
        <v>446</v>
      </c>
      <c r="D539" s="16">
        <v>200</v>
      </c>
      <c r="E539" s="17">
        <f>1443.1+419.4+350.9</f>
        <v>2213.4</v>
      </c>
      <c r="F539" s="17">
        <v>1972.8</v>
      </c>
      <c r="G539" s="17">
        <v>1972.8</v>
      </c>
    </row>
    <row r="540" spans="1:7" ht="34.5" customHeight="1" x14ac:dyDescent="0.25">
      <c r="A540" s="20" t="s">
        <v>39</v>
      </c>
      <c r="B540" s="14" t="s">
        <v>424</v>
      </c>
      <c r="C540" s="58" t="s">
        <v>446</v>
      </c>
      <c r="D540" s="16">
        <v>800</v>
      </c>
      <c r="E540" s="17">
        <v>2.4</v>
      </c>
      <c r="F540" s="17">
        <v>2.4</v>
      </c>
      <c r="G540" s="17">
        <v>2.4</v>
      </c>
    </row>
    <row r="541" spans="1:7" ht="30" x14ac:dyDescent="0.25">
      <c r="A541" s="13" t="s">
        <v>201</v>
      </c>
      <c r="B541" s="14" t="s">
        <v>424</v>
      </c>
      <c r="C541" s="58" t="s">
        <v>446</v>
      </c>
      <c r="D541" s="16">
        <v>600</v>
      </c>
      <c r="E541" s="17">
        <f>6284.5</f>
        <v>6284.5</v>
      </c>
      <c r="F541" s="17">
        <v>6333.8</v>
      </c>
      <c r="G541" s="17">
        <v>6333.8</v>
      </c>
    </row>
    <row r="542" spans="1:7" ht="30" x14ac:dyDescent="0.25">
      <c r="A542" s="76" t="s">
        <v>447</v>
      </c>
      <c r="B542" s="14" t="s">
        <v>424</v>
      </c>
      <c r="C542" s="58" t="s">
        <v>360</v>
      </c>
      <c r="D542" s="16"/>
      <c r="E542" s="17">
        <f>SUM(E543)</f>
        <v>0</v>
      </c>
      <c r="F542" s="17">
        <f t="shared" ref="F542:G543" si="236">SUM(F543)</f>
        <v>506</v>
      </c>
      <c r="G542" s="17">
        <f t="shared" si="236"/>
        <v>506</v>
      </c>
    </row>
    <row r="543" spans="1:7" ht="30" x14ac:dyDescent="0.25">
      <c r="A543" s="76" t="s">
        <v>385</v>
      </c>
      <c r="B543" s="14" t="s">
        <v>424</v>
      </c>
      <c r="C543" s="58" t="s">
        <v>386</v>
      </c>
      <c r="D543" s="16"/>
      <c r="E543" s="17">
        <f>SUM(E544)</f>
        <v>0</v>
      </c>
      <c r="F543" s="17">
        <f t="shared" si="236"/>
        <v>506</v>
      </c>
      <c r="G543" s="17">
        <f t="shared" si="236"/>
        <v>506</v>
      </c>
    </row>
    <row r="544" spans="1:7" ht="30" x14ac:dyDescent="0.25">
      <c r="A544" s="13" t="s">
        <v>201</v>
      </c>
      <c r="B544" s="14" t="s">
        <v>424</v>
      </c>
      <c r="C544" s="58" t="s">
        <v>386</v>
      </c>
      <c r="D544" s="16">
        <v>600</v>
      </c>
      <c r="E544" s="17">
        <f>354.2-354.2</f>
        <v>0</v>
      </c>
      <c r="F544" s="17">
        <v>506</v>
      </c>
      <c r="G544" s="17">
        <v>506</v>
      </c>
    </row>
    <row r="545" spans="1:7" s="7" customFormat="1" x14ac:dyDescent="0.25">
      <c r="A545" s="8" t="s">
        <v>448</v>
      </c>
      <c r="B545" s="9" t="s">
        <v>449</v>
      </c>
      <c r="C545" s="73"/>
      <c r="D545" s="11"/>
      <c r="E545" s="12">
        <f>SUM(E546+E565)</f>
        <v>324837.80000000005</v>
      </c>
      <c r="F545" s="12">
        <f>SUM(F546+F565)</f>
        <v>301401.59999999998</v>
      </c>
      <c r="G545" s="12">
        <f>SUM(G546+G565)</f>
        <v>319317.7</v>
      </c>
    </row>
    <row r="546" spans="1:7" s="7" customFormat="1" x14ac:dyDescent="0.25">
      <c r="A546" s="8" t="s">
        <v>450</v>
      </c>
      <c r="B546" s="9" t="s">
        <v>451</v>
      </c>
      <c r="C546" s="10"/>
      <c r="D546" s="11"/>
      <c r="E546" s="12">
        <f>SUM(E547)</f>
        <v>262800.80000000005</v>
      </c>
      <c r="F546" s="12">
        <f t="shared" ref="F546:G546" si="237">SUM(F547)</f>
        <v>243621.3</v>
      </c>
      <c r="G546" s="12">
        <f t="shared" si="237"/>
        <v>261537.40000000002</v>
      </c>
    </row>
    <row r="547" spans="1:7" ht="30" x14ac:dyDescent="0.25">
      <c r="A547" s="19" t="s">
        <v>391</v>
      </c>
      <c r="B547" s="14" t="s">
        <v>451</v>
      </c>
      <c r="C547" s="72" t="s">
        <v>392</v>
      </c>
      <c r="D547" s="16"/>
      <c r="E547" s="17">
        <f>SUM(E548+E555)+E561</f>
        <v>262800.80000000005</v>
      </c>
      <c r="F547" s="17">
        <f t="shared" ref="F547:G547" si="238">SUM(F548+F555)+F561</f>
        <v>243621.3</v>
      </c>
      <c r="G547" s="17">
        <f t="shared" si="238"/>
        <v>261537.40000000002</v>
      </c>
    </row>
    <row r="548" spans="1:7" x14ac:dyDescent="0.25">
      <c r="A548" s="13" t="s">
        <v>452</v>
      </c>
      <c r="B548" s="14" t="s">
        <v>451</v>
      </c>
      <c r="C548" s="58" t="s">
        <v>453</v>
      </c>
      <c r="D548" s="16"/>
      <c r="E548" s="17">
        <f>SUM(E552)+E549</f>
        <v>61821.7</v>
      </c>
      <c r="F548" s="17">
        <f t="shared" ref="F548:G548" si="239">SUM(F552)+F549</f>
        <v>56041.7</v>
      </c>
      <c r="G548" s="17">
        <f t="shared" si="239"/>
        <v>56034.8</v>
      </c>
    </row>
    <row r="549" spans="1:7" x14ac:dyDescent="0.25">
      <c r="A549" s="13" t="s">
        <v>629</v>
      </c>
      <c r="B549" s="14" t="s">
        <v>451</v>
      </c>
      <c r="C549" s="150" t="s">
        <v>597</v>
      </c>
      <c r="D549" s="15"/>
      <c r="E549" s="17">
        <f>E550</f>
        <v>5000</v>
      </c>
      <c r="F549" s="17">
        <f t="shared" ref="F549:G550" si="240">F550</f>
        <v>0</v>
      </c>
      <c r="G549" s="17">
        <f t="shared" si="240"/>
        <v>0</v>
      </c>
    </row>
    <row r="550" spans="1:7" x14ac:dyDescent="0.25">
      <c r="A550" s="13" t="s">
        <v>596</v>
      </c>
      <c r="B550" s="14" t="s">
        <v>451</v>
      </c>
      <c r="C550" s="150" t="s">
        <v>598</v>
      </c>
      <c r="D550" s="16"/>
      <c r="E550" s="17">
        <f>E551</f>
        <v>5000</v>
      </c>
      <c r="F550" s="17">
        <f t="shared" si="240"/>
        <v>0</v>
      </c>
      <c r="G550" s="17">
        <f t="shared" si="240"/>
        <v>0</v>
      </c>
    </row>
    <row r="551" spans="1:7" ht="30" x14ac:dyDescent="0.25">
      <c r="A551" s="13" t="s">
        <v>201</v>
      </c>
      <c r="B551" s="14" t="s">
        <v>451</v>
      </c>
      <c r="C551" s="150" t="s">
        <v>598</v>
      </c>
      <c r="D551" s="16">
        <v>600</v>
      </c>
      <c r="E551" s="17">
        <v>5000</v>
      </c>
      <c r="F551" s="17">
        <v>0</v>
      </c>
      <c r="G551" s="17">
        <v>0</v>
      </c>
    </row>
    <row r="552" spans="1:7" x14ac:dyDescent="0.25">
      <c r="A552" s="13" t="s">
        <v>454</v>
      </c>
      <c r="B552" s="14" t="s">
        <v>451</v>
      </c>
      <c r="C552" s="58" t="s">
        <v>455</v>
      </c>
      <c r="D552" s="16"/>
      <c r="E552" s="17">
        <f>SUM(E553)</f>
        <v>56821.7</v>
      </c>
      <c r="F552" s="17">
        <f>SUM(F553)</f>
        <v>56041.7</v>
      </c>
      <c r="G552" s="17">
        <f>SUM(G553)</f>
        <v>56034.8</v>
      </c>
    </row>
    <row r="553" spans="1:7" ht="30" x14ac:dyDescent="0.25">
      <c r="A553" s="19" t="s">
        <v>60</v>
      </c>
      <c r="B553" s="14" t="s">
        <v>451</v>
      </c>
      <c r="C553" s="58" t="s">
        <v>456</v>
      </c>
      <c r="D553" s="16"/>
      <c r="E553" s="17">
        <f>SUM(E554)</f>
        <v>56821.7</v>
      </c>
      <c r="F553" s="17">
        <f t="shared" ref="F553:G553" si="241">SUM(F554)</f>
        <v>56041.7</v>
      </c>
      <c r="G553" s="17">
        <f t="shared" si="241"/>
        <v>56034.8</v>
      </c>
    </row>
    <row r="554" spans="1:7" ht="30" x14ac:dyDescent="0.25">
      <c r="A554" s="13" t="s">
        <v>201</v>
      </c>
      <c r="B554" s="14" t="s">
        <v>451</v>
      </c>
      <c r="C554" s="58" t="s">
        <v>456</v>
      </c>
      <c r="D554" s="16">
        <v>600</v>
      </c>
      <c r="E554" s="17">
        <f>54204.7+2437+180</f>
        <v>56821.7</v>
      </c>
      <c r="F554" s="17">
        <v>56041.7</v>
      </c>
      <c r="G554" s="17">
        <v>56034.8</v>
      </c>
    </row>
    <row r="555" spans="1:7" ht="30" x14ac:dyDescent="0.25">
      <c r="A555" s="13" t="s">
        <v>457</v>
      </c>
      <c r="B555" s="14" t="s">
        <v>451</v>
      </c>
      <c r="C555" s="58" t="s">
        <v>458</v>
      </c>
      <c r="D555" s="15"/>
      <c r="E555" s="17">
        <f>SUM(E556)</f>
        <v>199779.10000000003</v>
      </c>
      <c r="F555" s="17">
        <f t="shared" ref="F555:G555" si="242">SUM(F556)</f>
        <v>187579.6</v>
      </c>
      <c r="G555" s="17">
        <f t="shared" si="242"/>
        <v>205502.6</v>
      </c>
    </row>
    <row r="556" spans="1:7" ht="30" x14ac:dyDescent="0.25">
      <c r="A556" s="13" t="s">
        <v>459</v>
      </c>
      <c r="B556" s="14" t="s">
        <v>451</v>
      </c>
      <c r="C556" s="58" t="s">
        <v>460</v>
      </c>
      <c r="D556" s="15"/>
      <c r="E556" s="17">
        <f>SUM(E557+E559)</f>
        <v>199779.10000000003</v>
      </c>
      <c r="F556" s="17">
        <f t="shared" ref="F556:G556" si="243">SUM(F557+F559)</f>
        <v>187579.6</v>
      </c>
      <c r="G556" s="17">
        <f t="shared" si="243"/>
        <v>205502.6</v>
      </c>
    </row>
    <row r="557" spans="1:7" ht="30" x14ac:dyDescent="0.25">
      <c r="A557" s="19" t="s">
        <v>60</v>
      </c>
      <c r="B557" s="14" t="s">
        <v>451</v>
      </c>
      <c r="C557" s="15" t="s">
        <v>461</v>
      </c>
      <c r="D557" s="15"/>
      <c r="E557" s="17">
        <f>SUM(E558)</f>
        <v>199000.70000000004</v>
      </c>
      <c r="F557" s="17">
        <f t="shared" ref="F557:G557" si="244">SUM(F558)</f>
        <v>187579.6</v>
      </c>
      <c r="G557" s="17">
        <f t="shared" si="244"/>
        <v>205502.6</v>
      </c>
    </row>
    <row r="558" spans="1:7" ht="30" x14ac:dyDescent="0.25">
      <c r="A558" s="13" t="s">
        <v>201</v>
      </c>
      <c r="B558" s="14" t="s">
        <v>451</v>
      </c>
      <c r="C558" s="15" t="s">
        <v>461</v>
      </c>
      <c r="D558" s="16">
        <v>600</v>
      </c>
      <c r="E558" s="17">
        <f>179920.2+2193.2+924.7+9198.6+6764</f>
        <v>199000.70000000004</v>
      </c>
      <c r="F558" s="17">
        <v>187579.6</v>
      </c>
      <c r="G558" s="17">
        <v>205502.6</v>
      </c>
    </row>
    <row r="559" spans="1:7" ht="45" x14ac:dyDescent="0.25">
      <c r="A559" s="43" t="s">
        <v>462</v>
      </c>
      <c r="B559" s="77" t="s">
        <v>451</v>
      </c>
      <c r="C559" s="77" t="s">
        <v>463</v>
      </c>
      <c r="D559" s="14"/>
      <c r="E559" s="17">
        <f>SUM(E560)</f>
        <v>778.40000000000009</v>
      </c>
      <c r="F559" s="17">
        <f t="shared" ref="F559:G559" si="245">SUM(F560)</f>
        <v>0</v>
      </c>
      <c r="G559" s="17">
        <f t="shared" si="245"/>
        <v>0</v>
      </c>
    </row>
    <row r="560" spans="1:7" ht="30" x14ac:dyDescent="0.25">
      <c r="A560" s="13" t="s">
        <v>201</v>
      </c>
      <c r="B560" s="77" t="s">
        <v>451</v>
      </c>
      <c r="C560" s="77" t="s">
        <v>463</v>
      </c>
      <c r="D560" s="14" t="s">
        <v>346</v>
      </c>
      <c r="E560" s="17">
        <f>772.6-40.8+46.6</f>
        <v>778.40000000000009</v>
      </c>
      <c r="F560" s="17">
        <v>0</v>
      </c>
      <c r="G560" s="17">
        <v>0</v>
      </c>
    </row>
    <row r="561" spans="1:7" ht="45" x14ac:dyDescent="0.25">
      <c r="A561" s="13" t="s">
        <v>472</v>
      </c>
      <c r="B561" s="15" t="s">
        <v>451</v>
      </c>
      <c r="C561" s="15" t="s">
        <v>473</v>
      </c>
      <c r="D561" s="15"/>
      <c r="E561" s="17">
        <f>E562</f>
        <v>1200</v>
      </c>
      <c r="F561" s="17">
        <f t="shared" ref="F561:G563" si="246">F562</f>
        <v>0</v>
      </c>
      <c r="G561" s="17">
        <f t="shared" si="246"/>
        <v>0</v>
      </c>
    </row>
    <row r="562" spans="1:7" ht="30" x14ac:dyDescent="0.25">
      <c r="A562" s="43" t="s">
        <v>599</v>
      </c>
      <c r="B562" s="15" t="s">
        <v>451</v>
      </c>
      <c r="C562" s="15" t="s">
        <v>600</v>
      </c>
      <c r="D562" s="15"/>
      <c r="E562" s="17">
        <f>E563</f>
        <v>1200</v>
      </c>
      <c r="F562" s="17">
        <f t="shared" si="246"/>
        <v>0</v>
      </c>
      <c r="G562" s="17">
        <f t="shared" si="246"/>
        <v>0</v>
      </c>
    </row>
    <row r="563" spans="1:7" ht="45" x14ac:dyDescent="0.25">
      <c r="A563" s="52" t="s">
        <v>627</v>
      </c>
      <c r="B563" s="14" t="s">
        <v>451</v>
      </c>
      <c r="C563" s="15" t="s">
        <v>628</v>
      </c>
      <c r="D563" s="16"/>
      <c r="E563" s="17">
        <f>E564</f>
        <v>1200</v>
      </c>
      <c r="F563" s="17">
        <f t="shared" si="246"/>
        <v>0</v>
      </c>
      <c r="G563" s="17">
        <f t="shared" si="246"/>
        <v>0</v>
      </c>
    </row>
    <row r="564" spans="1:7" x14ac:dyDescent="0.25">
      <c r="A564" s="65" t="s">
        <v>39</v>
      </c>
      <c r="B564" s="14" t="s">
        <v>451</v>
      </c>
      <c r="C564" s="15" t="s">
        <v>628</v>
      </c>
      <c r="D564" s="16">
        <v>800</v>
      </c>
      <c r="E564" s="17">
        <v>1200</v>
      </c>
      <c r="F564" s="17">
        <v>0</v>
      </c>
      <c r="G564" s="17">
        <v>0</v>
      </c>
    </row>
    <row r="565" spans="1:7" s="7" customFormat="1" x14ac:dyDescent="0.25">
      <c r="A565" s="8" t="s">
        <v>464</v>
      </c>
      <c r="B565" s="9" t="s">
        <v>465</v>
      </c>
      <c r="C565" s="10"/>
      <c r="D565" s="10"/>
      <c r="E565" s="12">
        <f>SUM(E566)</f>
        <v>62036.999999999993</v>
      </c>
      <c r="F565" s="12">
        <f t="shared" ref="F565:G565" si="247">SUM(F566)</f>
        <v>57780.3</v>
      </c>
      <c r="G565" s="12">
        <f t="shared" si="247"/>
        <v>57780.3</v>
      </c>
    </row>
    <row r="566" spans="1:7" ht="30" x14ac:dyDescent="0.25">
      <c r="A566" s="19" t="s">
        <v>391</v>
      </c>
      <c r="B566" s="14" t="s">
        <v>465</v>
      </c>
      <c r="C566" s="72" t="s">
        <v>392</v>
      </c>
      <c r="D566" s="15"/>
      <c r="E566" s="17">
        <f>SUM(E567+E571)</f>
        <v>62036.999999999993</v>
      </c>
      <c r="F566" s="17">
        <f>SUM(F567+F571)</f>
        <v>57780.3</v>
      </c>
      <c r="G566" s="17">
        <f>SUM(G567+G571)</f>
        <v>57780.3</v>
      </c>
    </row>
    <row r="567" spans="1:7" x14ac:dyDescent="0.25">
      <c r="A567" s="34" t="s">
        <v>466</v>
      </c>
      <c r="B567" s="21" t="s">
        <v>465</v>
      </c>
      <c r="C567" s="21" t="s">
        <v>467</v>
      </c>
      <c r="D567" s="15"/>
      <c r="E567" s="17">
        <f>SUM(E568)</f>
        <v>5943.2</v>
      </c>
      <c r="F567" s="17">
        <f t="shared" ref="F567:G569" si="248">SUM(F568)</f>
        <v>698</v>
      </c>
      <c r="G567" s="17">
        <f t="shared" si="248"/>
        <v>698</v>
      </c>
    </row>
    <row r="568" spans="1:7" ht="29.25" customHeight="1" x14ac:dyDescent="0.25">
      <c r="A568" s="34" t="s">
        <v>468</v>
      </c>
      <c r="B568" s="21" t="s">
        <v>465</v>
      </c>
      <c r="C568" s="21" t="s">
        <v>469</v>
      </c>
      <c r="D568" s="15"/>
      <c r="E568" s="17">
        <f>SUM(E569)</f>
        <v>5943.2</v>
      </c>
      <c r="F568" s="17">
        <f t="shared" si="248"/>
        <v>698</v>
      </c>
      <c r="G568" s="17">
        <f t="shared" si="248"/>
        <v>698</v>
      </c>
    </row>
    <row r="569" spans="1:7" ht="22.7" customHeight="1" x14ac:dyDescent="0.25">
      <c r="A569" s="13" t="s">
        <v>470</v>
      </c>
      <c r="B569" s="21" t="s">
        <v>465</v>
      </c>
      <c r="C569" s="21" t="s">
        <v>471</v>
      </c>
      <c r="D569" s="21"/>
      <c r="E569" s="17">
        <f>SUM(E570)</f>
        <v>5943.2</v>
      </c>
      <c r="F569" s="17">
        <f t="shared" si="248"/>
        <v>698</v>
      </c>
      <c r="G569" s="17">
        <f t="shared" si="248"/>
        <v>698</v>
      </c>
    </row>
    <row r="570" spans="1:7" ht="31.7" customHeight="1" x14ac:dyDescent="0.25">
      <c r="A570" s="13" t="s">
        <v>201</v>
      </c>
      <c r="B570" s="21" t="s">
        <v>465</v>
      </c>
      <c r="C570" s="21" t="s">
        <v>471</v>
      </c>
      <c r="D570" s="21" t="s">
        <v>346</v>
      </c>
      <c r="E570" s="17">
        <f>488.6+5245.2+209.4</f>
        <v>5943.2</v>
      </c>
      <c r="F570" s="17">
        <v>698</v>
      </c>
      <c r="G570" s="17">
        <v>698</v>
      </c>
    </row>
    <row r="571" spans="1:7" ht="49.7" customHeight="1" x14ac:dyDescent="0.25">
      <c r="A571" s="13" t="s">
        <v>472</v>
      </c>
      <c r="B571" s="14" t="s">
        <v>465</v>
      </c>
      <c r="C571" s="15" t="s">
        <v>473</v>
      </c>
      <c r="D571" s="15"/>
      <c r="E571" s="17">
        <f>SUM(E572+E578)</f>
        <v>56093.799999999996</v>
      </c>
      <c r="F571" s="17">
        <f t="shared" ref="F571:G571" si="249">SUM(F572+F578)</f>
        <v>57082.3</v>
      </c>
      <c r="G571" s="17">
        <f t="shared" si="249"/>
        <v>57082.3</v>
      </c>
    </row>
    <row r="572" spans="1:7" ht="21.75" customHeight="1" x14ac:dyDescent="0.25">
      <c r="A572" s="13" t="s">
        <v>474</v>
      </c>
      <c r="B572" s="14" t="s">
        <v>465</v>
      </c>
      <c r="C572" s="15" t="s">
        <v>475</v>
      </c>
      <c r="D572" s="15"/>
      <c r="E572" s="17">
        <f>SUM(E573+E576)</f>
        <v>53692.799999999996</v>
      </c>
      <c r="F572" s="17">
        <f t="shared" ref="F572:G572" si="250">SUM(F573+F576)</f>
        <v>55268.800000000003</v>
      </c>
      <c r="G572" s="17">
        <f t="shared" si="250"/>
        <v>55268.800000000003</v>
      </c>
    </row>
    <row r="573" spans="1:7" ht="34.5" customHeight="1" x14ac:dyDescent="0.25">
      <c r="A573" s="20" t="s">
        <v>36</v>
      </c>
      <c r="B573" s="14" t="s">
        <v>465</v>
      </c>
      <c r="C573" s="15" t="s">
        <v>476</v>
      </c>
      <c r="D573" s="15"/>
      <c r="E573" s="17">
        <f>SUM(E574:E575)</f>
        <v>9237.1</v>
      </c>
      <c r="F573" s="17">
        <f t="shared" ref="F573:G573" si="251">SUM(F574:F575)</f>
        <v>9347.4</v>
      </c>
      <c r="G573" s="17">
        <f t="shared" si="251"/>
        <v>9347.4</v>
      </c>
    </row>
    <row r="574" spans="1:7" ht="60" customHeight="1" x14ac:dyDescent="0.25">
      <c r="A574" s="13" t="s">
        <v>20</v>
      </c>
      <c r="B574" s="14" t="s">
        <v>465</v>
      </c>
      <c r="C574" s="15" t="s">
        <v>476</v>
      </c>
      <c r="D574" s="15" t="s">
        <v>44</v>
      </c>
      <c r="E574" s="17">
        <f>9032.7-88.9</f>
        <v>8943.8000000000011</v>
      </c>
      <c r="F574" s="17">
        <f>9299.5-355.7</f>
        <v>8943.7999999999993</v>
      </c>
      <c r="G574" s="17">
        <f>9299.5-355.7</f>
        <v>8943.7999999999993</v>
      </c>
    </row>
    <row r="575" spans="1:7" ht="31.7" customHeight="1" x14ac:dyDescent="0.25">
      <c r="A575" s="13" t="s">
        <v>31</v>
      </c>
      <c r="B575" s="14" t="s">
        <v>465</v>
      </c>
      <c r="C575" s="15" t="s">
        <v>476</v>
      </c>
      <c r="D575" s="15" t="s">
        <v>45</v>
      </c>
      <c r="E575" s="17">
        <v>293.3</v>
      </c>
      <c r="F575" s="17">
        <v>403.6</v>
      </c>
      <c r="G575" s="17">
        <v>403.6</v>
      </c>
    </row>
    <row r="576" spans="1:7" ht="31.7" customHeight="1" x14ac:dyDescent="0.25">
      <c r="A576" s="19" t="s">
        <v>60</v>
      </c>
      <c r="B576" s="14" t="s">
        <v>465</v>
      </c>
      <c r="C576" s="15" t="s">
        <v>477</v>
      </c>
      <c r="D576" s="15"/>
      <c r="E576" s="17">
        <f>SUM(E577)</f>
        <v>44455.7</v>
      </c>
      <c r="F576" s="17">
        <f t="shared" ref="F576:G576" si="252">SUM(F577)</f>
        <v>45921.4</v>
      </c>
      <c r="G576" s="17">
        <f t="shared" si="252"/>
        <v>45921.4</v>
      </c>
    </row>
    <row r="577" spans="1:7" ht="31.7" customHeight="1" x14ac:dyDescent="0.25">
      <c r="A577" s="13" t="s">
        <v>201</v>
      </c>
      <c r="B577" s="14" t="s">
        <v>465</v>
      </c>
      <c r="C577" s="15" t="s">
        <v>477</v>
      </c>
      <c r="D577" s="15" t="s">
        <v>346</v>
      </c>
      <c r="E577" s="17">
        <f>44385.7+70</f>
        <v>44455.7</v>
      </c>
      <c r="F577" s="17">
        <v>45921.4</v>
      </c>
      <c r="G577" s="17">
        <v>45921.4</v>
      </c>
    </row>
    <row r="578" spans="1:7" ht="32.25" customHeight="1" x14ac:dyDescent="0.25">
      <c r="A578" s="13" t="s">
        <v>478</v>
      </c>
      <c r="B578" s="14" t="s">
        <v>465</v>
      </c>
      <c r="C578" s="15" t="s">
        <v>479</v>
      </c>
      <c r="D578" s="15"/>
      <c r="E578" s="17">
        <f>SUM(E579)</f>
        <v>2401</v>
      </c>
      <c r="F578" s="17">
        <f t="shared" ref="F578:G578" si="253">SUM(F579)</f>
        <v>1813.5</v>
      </c>
      <c r="G578" s="17">
        <f t="shared" si="253"/>
        <v>1813.5</v>
      </c>
    </row>
    <row r="579" spans="1:7" ht="31.7" customHeight="1" x14ac:dyDescent="0.25">
      <c r="A579" s="19" t="s">
        <v>480</v>
      </c>
      <c r="B579" s="14" t="s">
        <v>465</v>
      </c>
      <c r="C579" s="15" t="s">
        <v>481</v>
      </c>
      <c r="D579" s="16"/>
      <c r="E579" s="17">
        <f>SUM(E580:E581)</f>
        <v>2401</v>
      </c>
      <c r="F579" s="17">
        <f t="shared" ref="F579:G579" si="254">SUM(F580:F581)</f>
        <v>1813.5</v>
      </c>
      <c r="G579" s="17">
        <f t="shared" si="254"/>
        <v>1813.5</v>
      </c>
    </row>
    <row r="580" spans="1:7" ht="31.7" customHeight="1" x14ac:dyDescent="0.25">
      <c r="A580" s="13" t="s">
        <v>38</v>
      </c>
      <c r="B580" s="14" t="s">
        <v>465</v>
      </c>
      <c r="C580" s="15" t="s">
        <v>481</v>
      </c>
      <c r="D580" s="16">
        <v>300</v>
      </c>
      <c r="E580" s="17">
        <f>361.2+154.8</f>
        <v>516</v>
      </c>
      <c r="F580" s="17">
        <v>516</v>
      </c>
      <c r="G580" s="17">
        <v>516</v>
      </c>
    </row>
    <row r="581" spans="1:7" ht="30" x14ac:dyDescent="0.25">
      <c r="A581" s="13" t="s">
        <v>201</v>
      </c>
      <c r="B581" s="14" t="s">
        <v>465</v>
      </c>
      <c r="C581" s="15" t="s">
        <v>481</v>
      </c>
      <c r="D581" s="16">
        <v>600</v>
      </c>
      <c r="E581" s="17">
        <f>908.3+587.5+389.2</f>
        <v>1885</v>
      </c>
      <c r="F581" s="17">
        <v>1297.5</v>
      </c>
      <c r="G581" s="17">
        <v>1297.5</v>
      </c>
    </row>
    <row r="582" spans="1:7" s="7" customFormat="1" x14ac:dyDescent="0.25">
      <c r="A582" s="8" t="s">
        <v>482</v>
      </c>
      <c r="B582" s="9" t="s">
        <v>483</v>
      </c>
      <c r="C582" s="10"/>
      <c r="D582" s="11"/>
      <c r="E582" s="12">
        <f>E583+E587+E616</f>
        <v>329439</v>
      </c>
      <c r="F582" s="12">
        <f>F583+F587+F616</f>
        <v>328785.40000000002</v>
      </c>
      <c r="G582" s="12">
        <f>G583+G587+G616</f>
        <v>328790.3</v>
      </c>
    </row>
    <row r="583" spans="1:7" s="7" customFormat="1" x14ac:dyDescent="0.25">
      <c r="A583" s="8" t="s">
        <v>484</v>
      </c>
      <c r="B583" s="9" t="s">
        <v>485</v>
      </c>
      <c r="C583" s="10"/>
      <c r="D583" s="11"/>
      <c r="E583" s="12">
        <f>SUM(E584)</f>
        <v>9255.1</v>
      </c>
      <c r="F583" s="12">
        <f t="shared" ref="F583:G585" si="255">SUM(F584)</f>
        <v>9255.1</v>
      </c>
      <c r="G583" s="12">
        <f t="shared" si="255"/>
        <v>9255.1</v>
      </c>
    </row>
    <row r="584" spans="1:7" x14ac:dyDescent="0.25">
      <c r="A584" s="13" t="s">
        <v>16</v>
      </c>
      <c r="B584" s="14" t="s">
        <v>485</v>
      </c>
      <c r="C584" s="15" t="s">
        <v>17</v>
      </c>
      <c r="D584" s="16"/>
      <c r="E584" s="17">
        <f>SUM(E585)</f>
        <v>9255.1</v>
      </c>
      <c r="F584" s="17">
        <f t="shared" si="255"/>
        <v>9255.1</v>
      </c>
      <c r="G584" s="17">
        <f t="shared" si="255"/>
        <v>9255.1</v>
      </c>
    </row>
    <row r="585" spans="1:7" x14ac:dyDescent="0.25">
      <c r="A585" s="13" t="s">
        <v>486</v>
      </c>
      <c r="B585" s="14" t="s">
        <v>485</v>
      </c>
      <c r="C585" s="15" t="s">
        <v>487</v>
      </c>
      <c r="D585" s="16"/>
      <c r="E585" s="17">
        <f>SUM(E586)</f>
        <v>9255.1</v>
      </c>
      <c r="F585" s="17">
        <f t="shared" si="255"/>
        <v>9255.1</v>
      </c>
      <c r="G585" s="17">
        <f t="shared" si="255"/>
        <v>9255.1</v>
      </c>
    </row>
    <row r="586" spans="1:7" x14ac:dyDescent="0.25">
      <c r="A586" s="13" t="s">
        <v>38</v>
      </c>
      <c r="B586" s="14" t="s">
        <v>485</v>
      </c>
      <c r="C586" s="15" t="s">
        <v>487</v>
      </c>
      <c r="D586" s="16">
        <v>300</v>
      </c>
      <c r="E586" s="17">
        <v>9255.1</v>
      </c>
      <c r="F586" s="17">
        <v>9255.1</v>
      </c>
      <c r="G586" s="17">
        <v>9255.1</v>
      </c>
    </row>
    <row r="587" spans="1:7" s="7" customFormat="1" x14ac:dyDescent="0.25">
      <c r="A587" s="8" t="s">
        <v>488</v>
      </c>
      <c r="B587" s="9" t="s">
        <v>489</v>
      </c>
      <c r="C587" s="10"/>
      <c r="D587" s="11"/>
      <c r="E587" s="12">
        <f>SUM(E588)+E603</f>
        <v>31962.100000000002</v>
      </c>
      <c r="F587" s="12">
        <f t="shared" ref="F587:G587" si="256">SUM(F588)+F603</f>
        <v>29630.299999999996</v>
      </c>
      <c r="G587" s="12">
        <f t="shared" si="256"/>
        <v>29482.9</v>
      </c>
    </row>
    <row r="588" spans="1:7" x14ac:dyDescent="0.25">
      <c r="A588" s="13" t="s">
        <v>16</v>
      </c>
      <c r="B588" s="14" t="s">
        <v>489</v>
      </c>
      <c r="C588" s="15" t="s">
        <v>17</v>
      </c>
      <c r="D588" s="16"/>
      <c r="E588" s="17">
        <f>SUM(E591+E593+E597+E599+E601)+E595+E589</f>
        <v>9729.2000000000007</v>
      </c>
      <c r="F588" s="17">
        <f t="shared" ref="F588:G588" si="257">SUM(F591+F593+F597+F599+F601)+F595+F589</f>
        <v>7828.9</v>
      </c>
      <c r="G588" s="17">
        <f t="shared" si="257"/>
        <v>7828.9</v>
      </c>
    </row>
    <row r="589" spans="1:7" ht="30" x14ac:dyDescent="0.25">
      <c r="A589" s="13" t="s">
        <v>592</v>
      </c>
      <c r="B589" s="14" t="s">
        <v>489</v>
      </c>
      <c r="C589" s="151" t="s">
        <v>593</v>
      </c>
      <c r="D589" s="23"/>
      <c r="E589" s="17">
        <f>E590</f>
        <v>30</v>
      </c>
      <c r="F589" s="17">
        <f t="shared" ref="F589:G589" si="258">F590</f>
        <v>0</v>
      </c>
      <c r="G589" s="17">
        <f t="shared" si="258"/>
        <v>0</v>
      </c>
    </row>
    <row r="590" spans="1:7" x14ac:dyDescent="0.25">
      <c r="A590" s="13" t="s">
        <v>38</v>
      </c>
      <c r="B590" s="14" t="s">
        <v>489</v>
      </c>
      <c r="C590" s="151" t="s">
        <v>593</v>
      </c>
      <c r="D590" s="16">
        <v>300</v>
      </c>
      <c r="E590" s="17">
        <v>30</v>
      </c>
      <c r="F590" s="17">
        <v>0</v>
      </c>
      <c r="G590" s="17">
        <v>0</v>
      </c>
    </row>
    <row r="591" spans="1:7" ht="30" x14ac:dyDescent="0.25">
      <c r="A591" s="13" t="s">
        <v>490</v>
      </c>
      <c r="B591" s="14" t="s">
        <v>489</v>
      </c>
      <c r="C591" s="15" t="s">
        <v>491</v>
      </c>
      <c r="D591" s="16"/>
      <c r="E591" s="17">
        <f>SUM(E592)</f>
        <v>1946</v>
      </c>
      <c r="F591" s="17">
        <f t="shared" ref="F591:G591" si="259">SUM(F592)</f>
        <v>1946</v>
      </c>
      <c r="G591" s="17">
        <f t="shared" si="259"/>
        <v>1946</v>
      </c>
    </row>
    <row r="592" spans="1:7" x14ac:dyDescent="0.25">
      <c r="A592" s="13" t="s">
        <v>38</v>
      </c>
      <c r="B592" s="14" t="s">
        <v>489</v>
      </c>
      <c r="C592" s="15" t="s">
        <v>491</v>
      </c>
      <c r="D592" s="16">
        <v>300</v>
      </c>
      <c r="E592" s="17">
        <v>1946</v>
      </c>
      <c r="F592" s="17">
        <v>1946</v>
      </c>
      <c r="G592" s="17">
        <v>1946</v>
      </c>
    </row>
    <row r="593" spans="1:7" ht="30" x14ac:dyDescent="0.25">
      <c r="A593" s="13" t="s">
        <v>492</v>
      </c>
      <c r="B593" s="14" t="s">
        <v>489</v>
      </c>
      <c r="C593" s="15" t="s">
        <v>493</v>
      </c>
      <c r="D593" s="16"/>
      <c r="E593" s="17">
        <f>SUM(E594)</f>
        <v>3258.5</v>
      </c>
      <c r="F593" s="17">
        <f t="shared" ref="F593:G593" si="260">SUM(F594)</f>
        <v>3258.5</v>
      </c>
      <c r="G593" s="17">
        <f t="shared" si="260"/>
        <v>3258.5</v>
      </c>
    </row>
    <row r="594" spans="1:7" x14ac:dyDescent="0.25">
      <c r="A594" s="13" t="s">
        <v>38</v>
      </c>
      <c r="B594" s="14" t="s">
        <v>489</v>
      </c>
      <c r="C594" s="15" t="s">
        <v>493</v>
      </c>
      <c r="D594" s="16">
        <v>300</v>
      </c>
      <c r="E594" s="17">
        <v>3258.5</v>
      </c>
      <c r="F594" s="17">
        <v>3258.5</v>
      </c>
      <c r="G594" s="17">
        <v>3258.5</v>
      </c>
    </row>
    <row r="595" spans="1:7" ht="30" x14ac:dyDescent="0.25">
      <c r="A595" s="19" t="s">
        <v>494</v>
      </c>
      <c r="B595" s="14" t="s">
        <v>489</v>
      </c>
      <c r="C595" s="15" t="s">
        <v>495</v>
      </c>
      <c r="D595" s="16"/>
      <c r="E595" s="17">
        <f>SUM(E596)</f>
        <v>287.5</v>
      </c>
      <c r="F595" s="17">
        <f t="shared" ref="F595:G595" si="261">SUM(F596)</f>
        <v>287.5</v>
      </c>
      <c r="G595" s="17">
        <f t="shared" si="261"/>
        <v>287.5</v>
      </c>
    </row>
    <row r="596" spans="1:7" x14ac:dyDescent="0.25">
      <c r="A596" s="13" t="s">
        <v>38</v>
      </c>
      <c r="B596" s="14" t="s">
        <v>489</v>
      </c>
      <c r="C596" s="15" t="s">
        <v>495</v>
      </c>
      <c r="D596" s="16">
        <v>300</v>
      </c>
      <c r="E596" s="17">
        <v>287.5</v>
      </c>
      <c r="F596" s="17">
        <v>287.5</v>
      </c>
      <c r="G596" s="17">
        <v>287.5</v>
      </c>
    </row>
    <row r="597" spans="1:7" x14ac:dyDescent="0.25">
      <c r="A597" s="13" t="s">
        <v>496</v>
      </c>
      <c r="B597" s="14" t="s">
        <v>489</v>
      </c>
      <c r="C597" s="15" t="s">
        <v>497</v>
      </c>
      <c r="D597" s="16"/>
      <c r="E597" s="17">
        <f>SUM(E598)</f>
        <v>1050</v>
      </c>
      <c r="F597" s="17">
        <f t="shared" ref="F597:G597" si="262">SUM(F598)</f>
        <v>931.9</v>
      </c>
      <c r="G597" s="17">
        <f t="shared" si="262"/>
        <v>931.9</v>
      </c>
    </row>
    <row r="598" spans="1:7" ht="30" x14ac:dyDescent="0.25">
      <c r="A598" s="13" t="s">
        <v>201</v>
      </c>
      <c r="B598" s="14" t="s">
        <v>489</v>
      </c>
      <c r="C598" s="15" t="s">
        <v>497</v>
      </c>
      <c r="D598" s="16">
        <v>600</v>
      </c>
      <c r="E598" s="17">
        <v>1050</v>
      </c>
      <c r="F598" s="17">
        <v>931.9</v>
      </c>
      <c r="G598" s="17">
        <v>931.9</v>
      </c>
    </row>
    <row r="599" spans="1:7" x14ac:dyDescent="0.25">
      <c r="A599" s="13" t="s">
        <v>498</v>
      </c>
      <c r="B599" s="14" t="s">
        <v>489</v>
      </c>
      <c r="C599" s="15" t="s">
        <v>499</v>
      </c>
      <c r="D599" s="16"/>
      <c r="E599" s="17">
        <f>SUM(E600)</f>
        <v>3150</v>
      </c>
      <c r="F599" s="17">
        <f t="shared" ref="F599:G599" si="263">SUM(F600)</f>
        <v>1397.8</v>
      </c>
      <c r="G599" s="17">
        <f t="shared" si="263"/>
        <v>1397.8</v>
      </c>
    </row>
    <row r="600" spans="1:7" ht="30" x14ac:dyDescent="0.25">
      <c r="A600" s="13" t="s">
        <v>201</v>
      </c>
      <c r="B600" s="14" t="s">
        <v>489</v>
      </c>
      <c r="C600" s="15" t="s">
        <v>499</v>
      </c>
      <c r="D600" s="16">
        <v>600</v>
      </c>
      <c r="E600" s="17">
        <v>3150</v>
      </c>
      <c r="F600" s="17">
        <v>1397.8</v>
      </c>
      <c r="G600" s="17">
        <v>1397.8</v>
      </c>
    </row>
    <row r="601" spans="1:7" ht="60" x14ac:dyDescent="0.25">
      <c r="A601" s="13" t="s">
        <v>500</v>
      </c>
      <c r="B601" s="14" t="s">
        <v>489</v>
      </c>
      <c r="C601" s="15" t="s">
        <v>501</v>
      </c>
      <c r="D601" s="16"/>
      <c r="E601" s="17">
        <f>SUM(E602)</f>
        <v>7.2</v>
      </c>
      <c r="F601" s="17">
        <f t="shared" ref="F601:G601" si="264">SUM(F602)</f>
        <v>7.2</v>
      </c>
      <c r="G601" s="17">
        <f t="shared" si="264"/>
        <v>7.2</v>
      </c>
    </row>
    <row r="602" spans="1:7" x14ac:dyDescent="0.25">
      <c r="A602" s="19" t="s">
        <v>39</v>
      </c>
      <c r="B602" s="14" t="s">
        <v>489</v>
      </c>
      <c r="C602" s="15" t="s">
        <v>501</v>
      </c>
      <c r="D602" s="16">
        <v>800</v>
      </c>
      <c r="E602" s="17">
        <v>7.2</v>
      </c>
      <c r="F602" s="17">
        <v>7.2</v>
      </c>
      <c r="G602" s="17">
        <v>7.2</v>
      </c>
    </row>
    <row r="603" spans="1:7" ht="30" x14ac:dyDescent="0.25">
      <c r="A603" s="31" t="s">
        <v>66</v>
      </c>
      <c r="B603" s="32" t="s">
        <v>489</v>
      </c>
      <c r="C603" s="32" t="s">
        <v>67</v>
      </c>
      <c r="D603" s="35"/>
      <c r="E603" s="17">
        <f>SUM(E604+E608)+E612</f>
        <v>22232.9</v>
      </c>
      <c r="F603" s="17">
        <f t="shared" ref="F603:G603" si="265">SUM(F604+F608)+F612</f>
        <v>21801.399999999998</v>
      </c>
      <c r="G603" s="17">
        <f t="shared" si="265"/>
        <v>21654</v>
      </c>
    </row>
    <row r="604" spans="1:7" ht="30" x14ac:dyDescent="0.25">
      <c r="A604" s="31" t="s">
        <v>502</v>
      </c>
      <c r="B604" s="32" t="s">
        <v>489</v>
      </c>
      <c r="C604" s="32" t="s">
        <v>503</v>
      </c>
      <c r="D604" s="35"/>
      <c r="E604" s="17">
        <f>SUM(E605)</f>
        <v>957.9</v>
      </c>
      <c r="F604" s="17">
        <f t="shared" ref="F604:G606" si="266">SUM(F605)</f>
        <v>500</v>
      </c>
      <c r="G604" s="17">
        <f t="shared" si="266"/>
        <v>500</v>
      </c>
    </row>
    <row r="605" spans="1:7" ht="30" x14ac:dyDescent="0.25">
      <c r="A605" s="31" t="s">
        <v>504</v>
      </c>
      <c r="B605" s="32" t="s">
        <v>489</v>
      </c>
      <c r="C605" s="32" t="s">
        <v>505</v>
      </c>
      <c r="D605" s="35"/>
      <c r="E605" s="17">
        <f>SUM(E606)</f>
        <v>957.9</v>
      </c>
      <c r="F605" s="17">
        <f t="shared" si="266"/>
        <v>500</v>
      </c>
      <c r="G605" s="17">
        <f t="shared" si="266"/>
        <v>500</v>
      </c>
    </row>
    <row r="606" spans="1:7" ht="45" x14ac:dyDescent="0.25">
      <c r="A606" s="31" t="s">
        <v>506</v>
      </c>
      <c r="B606" s="32" t="s">
        <v>507</v>
      </c>
      <c r="C606" s="32" t="s">
        <v>508</v>
      </c>
      <c r="D606" s="35"/>
      <c r="E606" s="17">
        <f>SUM(E607)</f>
        <v>957.9</v>
      </c>
      <c r="F606" s="17">
        <f t="shared" si="266"/>
        <v>500</v>
      </c>
      <c r="G606" s="17">
        <f t="shared" si="266"/>
        <v>500</v>
      </c>
    </row>
    <row r="607" spans="1:7" x14ac:dyDescent="0.25">
      <c r="A607" s="13" t="s">
        <v>38</v>
      </c>
      <c r="B607" s="32" t="s">
        <v>507</v>
      </c>
      <c r="C607" s="32" t="s">
        <v>508</v>
      </c>
      <c r="D607" s="35">
        <v>300</v>
      </c>
      <c r="E607" s="17">
        <v>957.9</v>
      </c>
      <c r="F607" s="17">
        <v>500</v>
      </c>
      <c r="G607" s="17">
        <v>500</v>
      </c>
    </row>
    <row r="608" spans="1:7" x14ac:dyDescent="0.25">
      <c r="A608" s="31" t="s">
        <v>509</v>
      </c>
      <c r="B608" s="32" t="s">
        <v>489</v>
      </c>
      <c r="C608" s="32" t="s">
        <v>510</v>
      </c>
      <c r="D608" s="35"/>
      <c r="E608" s="17">
        <f>SUM(E609)</f>
        <v>10875</v>
      </c>
      <c r="F608" s="17">
        <f t="shared" ref="F608:G610" si="267">SUM(F609)</f>
        <v>10901.399999999998</v>
      </c>
      <c r="G608" s="17">
        <f t="shared" si="267"/>
        <v>10754</v>
      </c>
    </row>
    <row r="609" spans="1:7" ht="45" x14ac:dyDescent="0.25">
      <c r="A609" s="31" t="s">
        <v>511</v>
      </c>
      <c r="B609" s="32" t="s">
        <v>489</v>
      </c>
      <c r="C609" s="32" t="s">
        <v>512</v>
      </c>
      <c r="D609" s="35"/>
      <c r="E609" s="17">
        <f>SUM(E610)</f>
        <v>10875</v>
      </c>
      <c r="F609" s="17">
        <f t="shared" si="267"/>
        <v>10901.399999999998</v>
      </c>
      <c r="G609" s="17">
        <f t="shared" si="267"/>
        <v>10754</v>
      </c>
    </row>
    <row r="610" spans="1:7" x14ac:dyDescent="0.25">
      <c r="A610" s="31" t="s">
        <v>513</v>
      </c>
      <c r="B610" s="32" t="s">
        <v>489</v>
      </c>
      <c r="C610" s="32" t="s">
        <v>514</v>
      </c>
      <c r="D610" s="35"/>
      <c r="E610" s="17">
        <f>SUM(E611)</f>
        <v>10875</v>
      </c>
      <c r="F610" s="17">
        <f t="shared" si="267"/>
        <v>10901.399999999998</v>
      </c>
      <c r="G610" s="17">
        <f t="shared" si="267"/>
        <v>10754</v>
      </c>
    </row>
    <row r="611" spans="1:7" x14ac:dyDescent="0.25">
      <c r="A611" s="13" t="s">
        <v>38</v>
      </c>
      <c r="B611" s="32" t="s">
        <v>489</v>
      </c>
      <c r="C611" s="32" t="s">
        <v>514</v>
      </c>
      <c r="D611" s="35">
        <v>300</v>
      </c>
      <c r="E611" s="17">
        <f>32024.4-19880.4-1269</f>
        <v>10875</v>
      </c>
      <c r="F611" s="17">
        <f>32263.3-20080.2-1281.7</f>
        <v>10901.399999999998</v>
      </c>
      <c r="G611" s="17">
        <f>10108.8+645.2</f>
        <v>10754</v>
      </c>
    </row>
    <row r="612" spans="1:7" ht="30" x14ac:dyDescent="0.25">
      <c r="A612" s="43" t="s">
        <v>515</v>
      </c>
      <c r="B612" s="32" t="s">
        <v>489</v>
      </c>
      <c r="C612" s="32" t="s">
        <v>516</v>
      </c>
      <c r="D612" s="35"/>
      <c r="E612" s="17">
        <f>SUM(E613)</f>
        <v>10400</v>
      </c>
      <c r="F612" s="17">
        <f t="shared" ref="F612:G614" si="268">SUM(F613)</f>
        <v>10400</v>
      </c>
      <c r="G612" s="17">
        <f t="shared" si="268"/>
        <v>10400</v>
      </c>
    </row>
    <row r="613" spans="1:7" ht="30" x14ac:dyDescent="0.25">
      <c r="A613" s="43" t="s">
        <v>517</v>
      </c>
      <c r="B613" s="32" t="s">
        <v>489</v>
      </c>
      <c r="C613" s="32" t="s">
        <v>518</v>
      </c>
      <c r="D613" s="35"/>
      <c r="E613" s="17">
        <f>SUM(E614)</f>
        <v>10400</v>
      </c>
      <c r="F613" s="17">
        <f t="shared" si="268"/>
        <v>10400</v>
      </c>
      <c r="G613" s="17">
        <f t="shared" si="268"/>
        <v>10400</v>
      </c>
    </row>
    <row r="614" spans="1:7" ht="60" x14ac:dyDescent="0.25">
      <c r="A614" s="43" t="s">
        <v>519</v>
      </c>
      <c r="B614" s="32" t="s">
        <v>489</v>
      </c>
      <c r="C614" s="113" t="s">
        <v>520</v>
      </c>
      <c r="D614" s="35"/>
      <c r="E614" s="17">
        <f>SUM(E615)</f>
        <v>10400</v>
      </c>
      <c r="F614" s="17">
        <f t="shared" si="268"/>
        <v>10400</v>
      </c>
      <c r="G614" s="17">
        <f t="shared" si="268"/>
        <v>10400</v>
      </c>
    </row>
    <row r="615" spans="1:7" x14ac:dyDescent="0.25">
      <c r="A615" s="13" t="s">
        <v>38</v>
      </c>
      <c r="B615" s="32" t="s">
        <v>489</v>
      </c>
      <c r="C615" s="113" t="s">
        <v>520</v>
      </c>
      <c r="D615" s="35">
        <v>300</v>
      </c>
      <c r="E615" s="17">
        <v>10400</v>
      </c>
      <c r="F615" s="17">
        <v>10400</v>
      </c>
      <c r="G615" s="17">
        <v>10400</v>
      </c>
    </row>
    <row r="616" spans="1:7" x14ac:dyDescent="0.25">
      <c r="A616" s="38" t="s">
        <v>521</v>
      </c>
      <c r="B616" s="39" t="s">
        <v>522</v>
      </c>
      <c r="C616" s="39"/>
      <c r="D616" s="39"/>
      <c r="E616" s="12">
        <f>SUM(E617)+E626</f>
        <v>288221.8</v>
      </c>
      <c r="F616" s="12">
        <f t="shared" ref="F616:G616" si="269">SUM(F617)+F626</f>
        <v>289900</v>
      </c>
      <c r="G616" s="12">
        <f t="shared" si="269"/>
        <v>290052.3</v>
      </c>
    </row>
    <row r="617" spans="1:7" ht="30" x14ac:dyDescent="0.25">
      <c r="A617" s="31" t="s">
        <v>66</v>
      </c>
      <c r="B617" s="32" t="s">
        <v>522</v>
      </c>
      <c r="C617" s="32" t="s">
        <v>67</v>
      </c>
      <c r="D617" s="32"/>
      <c r="E617" s="17">
        <f>SUM(E618)</f>
        <v>93538.8</v>
      </c>
      <c r="F617" s="17">
        <f t="shared" ref="F617:G622" si="270">SUM(F618)</f>
        <v>93538.8</v>
      </c>
      <c r="G617" s="17">
        <f t="shared" si="270"/>
        <v>93538.8</v>
      </c>
    </row>
    <row r="618" spans="1:7" ht="45" x14ac:dyDescent="0.25">
      <c r="A618" s="13" t="s">
        <v>523</v>
      </c>
      <c r="B618" s="32" t="s">
        <v>522</v>
      </c>
      <c r="C618" s="15" t="s">
        <v>524</v>
      </c>
      <c r="D618" s="32"/>
      <c r="E618" s="17">
        <f>SUM(E619)</f>
        <v>93538.8</v>
      </c>
      <c r="F618" s="17">
        <f t="shared" si="270"/>
        <v>93538.8</v>
      </c>
      <c r="G618" s="17">
        <f t="shared" si="270"/>
        <v>93538.8</v>
      </c>
    </row>
    <row r="619" spans="1:7" ht="45" x14ac:dyDescent="0.25">
      <c r="A619" s="19" t="s">
        <v>525</v>
      </c>
      <c r="B619" s="32" t="s">
        <v>522</v>
      </c>
      <c r="C619" s="15" t="s">
        <v>526</v>
      </c>
      <c r="D619" s="32"/>
      <c r="E619" s="17">
        <f>SUM(E622)+E620+E624</f>
        <v>93538.8</v>
      </c>
      <c r="F619" s="17">
        <f t="shared" ref="F619:G619" si="271">SUM(F622)+F620+F624</f>
        <v>93538.8</v>
      </c>
      <c r="G619" s="17">
        <f t="shared" si="271"/>
        <v>93538.8</v>
      </c>
    </row>
    <row r="620" spans="1:7" ht="45" x14ac:dyDescent="0.25">
      <c r="A620" s="49" t="s">
        <v>527</v>
      </c>
      <c r="B620" s="32" t="s">
        <v>522</v>
      </c>
      <c r="C620" s="15" t="s">
        <v>528</v>
      </c>
      <c r="D620" s="32"/>
      <c r="E620" s="17">
        <f>SUM(E621)</f>
        <v>91682.4</v>
      </c>
      <c r="F620" s="17">
        <f t="shared" ref="F620:G620" si="272">SUM(F621)</f>
        <v>91682.4</v>
      </c>
      <c r="G620" s="17">
        <f t="shared" si="272"/>
        <v>91682.4</v>
      </c>
    </row>
    <row r="621" spans="1:7" ht="30" x14ac:dyDescent="0.25">
      <c r="A621" s="34" t="s">
        <v>578</v>
      </c>
      <c r="B621" s="32" t="s">
        <v>522</v>
      </c>
      <c r="C621" s="15" t="s">
        <v>528</v>
      </c>
      <c r="D621" s="32" t="s">
        <v>529</v>
      </c>
      <c r="E621" s="17">
        <v>91682.4</v>
      </c>
      <c r="F621" s="17">
        <v>91682.4</v>
      </c>
      <c r="G621" s="17">
        <f>44822.5+46859.9</f>
        <v>91682.4</v>
      </c>
    </row>
    <row r="622" spans="1:7" ht="75" x14ac:dyDescent="0.25">
      <c r="A622" s="43" t="s">
        <v>530</v>
      </c>
      <c r="B622" s="14" t="s">
        <v>522</v>
      </c>
      <c r="C622" s="113" t="s">
        <v>531</v>
      </c>
      <c r="D622" s="16"/>
      <c r="E622" s="17">
        <f>SUM(E623)</f>
        <v>1306.3</v>
      </c>
      <c r="F622" s="17">
        <f t="shared" si="270"/>
        <v>1306.3</v>
      </c>
      <c r="G622" s="17">
        <f t="shared" si="270"/>
        <v>1306.3</v>
      </c>
    </row>
    <row r="623" spans="1:7" ht="30" x14ac:dyDescent="0.25">
      <c r="A623" s="13" t="s">
        <v>31</v>
      </c>
      <c r="B623" s="14" t="s">
        <v>522</v>
      </c>
      <c r="C623" s="113" t="s">
        <v>531</v>
      </c>
      <c r="D623" s="16">
        <v>200</v>
      </c>
      <c r="E623" s="17">
        <v>1306.3</v>
      </c>
      <c r="F623" s="17">
        <v>1306.3</v>
      </c>
      <c r="G623" s="17">
        <v>1306.3</v>
      </c>
    </row>
    <row r="624" spans="1:7" ht="63" x14ac:dyDescent="0.25">
      <c r="A624" s="50" t="s">
        <v>532</v>
      </c>
      <c r="B624" s="32" t="s">
        <v>522</v>
      </c>
      <c r="C624" s="15" t="s">
        <v>533</v>
      </c>
      <c r="D624" s="32"/>
      <c r="E624" s="17">
        <f>SUM(E625)</f>
        <v>550.1</v>
      </c>
      <c r="F624" s="17">
        <f t="shared" ref="F624:G624" si="273">SUM(F625)</f>
        <v>550.1</v>
      </c>
      <c r="G624" s="17">
        <f t="shared" si="273"/>
        <v>550.09999999999991</v>
      </c>
    </row>
    <row r="625" spans="1:7" ht="30" x14ac:dyDescent="0.25">
      <c r="A625" s="13" t="s">
        <v>31</v>
      </c>
      <c r="B625" s="32" t="s">
        <v>522</v>
      </c>
      <c r="C625" s="15" t="s">
        <v>533</v>
      </c>
      <c r="D625" s="32" t="s">
        <v>45</v>
      </c>
      <c r="E625" s="17">
        <v>550.1</v>
      </c>
      <c r="F625" s="17">
        <v>550.1</v>
      </c>
      <c r="G625" s="17">
        <f>268.9+281.2</f>
        <v>550.09999999999991</v>
      </c>
    </row>
    <row r="626" spans="1:7" ht="30" x14ac:dyDescent="0.25">
      <c r="A626" s="13" t="s">
        <v>337</v>
      </c>
      <c r="B626" s="14" t="s">
        <v>522</v>
      </c>
      <c r="C626" s="15" t="s">
        <v>338</v>
      </c>
      <c r="D626" s="14"/>
      <c r="E626" s="17">
        <f>SUM(E627+E633)</f>
        <v>194683</v>
      </c>
      <c r="F626" s="17">
        <f t="shared" ref="F626:G626" si="274">SUM(F627+F633)</f>
        <v>196361.19999999998</v>
      </c>
      <c r="G626" s="17">
        <f t="shared" si="274"/>
        <v>196513.5</v>
      </c>
    </row>
    <row r="627" spans="1:7" ht="30" x14ac:dyDescent="0.25">
      <c r="A627" s="20" t="s">
        <v>339</v>
      </c>
      <c r="B627" s="14" t="s">
        <v>522</v>
      </c>
      <c r="C627" s="15" t="s">
        <v>340</v>
      </c>
      <c r="D627" s="14"/>
      <c r="E627" s="17">
        <f>SUM(E628)</f>
        <v>133523.1</v>
      </c>
      <c r="F627" s="17">
        <f t="shared" ref="F627:G628" si="275">SUM(F628)</f>
        <v>133640.9</v>
      </c>
      <c r="G627" s="17">
        <f t="shared" si="275"/>
        <v>133640.9</v>
      </c>
    </row>
    <row r="628" spans="1:7" ht="45" x14ac:dyDescent="0.25">
      <c r="A628" s="20" t="s">
        <v>341</v>
      </c>
      <c r="B628" s="14" t="s">
        <v>522</v>
      </c>
      <c r="C628" s="15" t="s">
        <v>342</v>
      </c>
      <c r="D628" s="14"/>
      <c r="E628" s="17">
        <f>SUM(E629)</f>
        <v>133523.1</v>
      </c>
      <c r="F628" s="17">
        <f t="shared" si="275"/>
        <v>133640.9</v>
      </c>
      <c r="G628" s="17">
        <f t="shared" si="275"/>
        <v>133640.9</v>
      </c>
    </row>
    <row r="629" spans="1:7" ht="60" x14ac:dyDescent="0.25">
      <c r="A629" s="78" t="s">
        <v>425</v>
      </c>
      <c r="B629" s="14" t="s">
        <v>522</v>
      </c>
      <c r="C629" s="15" t="s">
        <v>426</v>
      </c>
      <c r="D629" s="16"/>
      <c r="E629" s="17">
        <f>SUM(E632)+E630+E631</f>
        <v>133523.1</v>
      </c>
      <c r="F629" s="17">
        <f t="shared" ref="F629:G629" si="276">SUM(F632)+F630+F631</f>
        <v>133640.9</v>
      </c>
      <c r="G629" s="17">
        <f t="shared" si="276"/>
        <v>133640.9</v>
      </c>
    </row>
    <row r="630" spans="1:7" ht="30" x14ac:dyDescent="0.25">
      <c r="A630" s="13" t="s">
        <v>31</v>
      </c>
      <c r="B630" s="15" t="s">
        <v>522</v>
      </c>
      <c r="C630" s="15" t="s">
        <v>426</v>
      </c>
      <c r="D630" s="23">
        <v>200</v>
      </c>
      <c r="E630" s="17">
        <v>11</v>
      </c>
      <c r="F630" s="17">
        <v>0</v>
      </c>
      <c r="G630" s="17">
        <v>0</v>
      </c>
    </row>
    <row r="631" spans="1:7" x14ac:dyDescent="0.25">
      <c r="A631" s="13" t="s">
        <v>38</v>
      </c>
      <c r="B631" s="15" t="s">
        <v>522</v>
      </c>
      <c r="C631" s="15" t="s">
        <v>426</v>
      </c>
      <c r="D631" s="23">
        <v>300</v>
      </c>
      <c r="E631" s="17">
        <v>1110</v>
      </c>
      <c r="F631" s="17">
        <v>0</v>
      </c>
      <c r="G631" s="17">
        <v>0</v>
      </c>
    </row>
    <row r="632" spans="1:7" ht="30" x14ac:dyDescent="0.25">
      <c r="A632" s="13" t="s">
        <v>201</v>
      </c>
      <c r="B632" s="14" t="s">
        <v>522</v>
      </c>
      <c r="C632" s="15" t="s">
        <v>426</v>
      </c>
      <c r="D632" s="16">
        <v>600</v>
      </c>
      <c r="E632" s="17">
        <f>133523.1-1121</f>
        <v>132402.1</v>
      </c>
      <c r="F632" s="17">
        <v>133640.9</v>
      </c>
      <c r="G632" s="17">
        <v>133640.9</v>
      </c>
    </row>
    <row r="633" spans="1:7" x14ac:dyDescent="0.25">
      <c r="A633" s="20" t="s">
        <v>402</v>
      </c>
      <c r="B633" s="14" t="s">
        <v>522</v>
      </c>
      <c r="C633" s="15" t="s">
        <v>403</v>
      </c>
      <c r="D633" s="14"/>
      <c r="E633" s="17">
        <f>SUM(E634)</f>
        <v>61159.9</v>
      </c>
      <c r="F633" s="17">
        <f t="shared" ref="F633:G633" si="277">SUM(F634)</f>
        <v>62720.299999999996</v>
      </c>
      <c r="G633" s="17">
        <f t="shared" si="277"/>
        <v>62872.6</v>
      </c>
    </row>
    <row r="634" spans="1:7" ht="30" x14ac:dyDescent="0.25">
      <c r="A634" s="49" t="s">
        <v>429</v>
      </c>
      <c r="B634" s="14" t="s">
        <v>522</v>
      </c>
      <c r="C634" s="15" t="s">
        <v>430</v>
      </c>
      <c r="D634" s="14"/>
      <c r="E634" s="17">
        <f>SUM(E635+E638+E641)</f>
        <v>61159.9</v>
      </c>
      <c r="F634" s="17">
        <f t="shared" ref="F634:G634" si="278">SUM(F635+F638+F641)</f>
        <v>62720.299999999996</v>
      </c>
      <c r="G634" s="17">
        <f t="shared" si="278"/>
        <v>62872.6</v>
      </c>
    </row>
    <row r="635" spans="1:7" ht="45" x14ac:dyDescent="0.25">
      <c r="A635" s="13" t="s">
        <v>431</v>
      </c>
      <c r="B635" s="14" t="s">
        <v>522</v>
      </c>
      <c r="C635" s="15" t="s">
        <v>432</v>
      </c>
      <c r="D635" s="16"/>
      <c r="E635" s="17">
        <f>SUM(E636:E637)</f>
        <v>7193.3</v>
      </c>
      <c r="F635" s="17">
        <f t="shared" ref="F635:G635" si="279">SUM(F636:F637)</f>
        <v>6925.2</v>
      </c>
      <c r="G635" s="17">
        <f t="shared" si="279"/>
        <v>7077.5</v>
      </c>
    </row>
    <row r="636" spans="1:7" ht="30" x14ac:dyDescent="0.25">
      <c r="A636" s="13" t="s">
        <v>31</v>
      </c>
      <c r="B636" s="14" t="s">
        <v>522</v>
      </c>
      <c r="C636" s="15" t="s">
        <v>432</v>
      </c>
      <c r="D636" s="16">
        <v>200</v>
      </c>
      <c r="E636" s="17">
        <v>79</v>
      </c>
      <c r="F636" s="17">
        <v>80</v>
      </c>
      <c r="G636" s="17">
        <v>82</v>
      </c>
    </row>
    <row r="637" spans="1:7" x14ac:dyDescent="0.25">
      <c r="A637" s="13" t="s">
        <v>38</v>
      </c>
      <c r="B637" s="14" t="s">
        <v>522</v>
      </c>
      <c r="C637" s="15" t="s">
        <v>432</v>
      </c>
      <c r="D637" s="16">
        <v>300</v>
      </c>
      <c r="E637" s="17">
        <f>7781-666.7</f>
        <v>7114.3</v>
      </c>
      <c r="F637" s="79">
        <f>7870.7-7.9-1017.6</f>
        <v>6845.2</v>
      </c>
      <c r="G637" s="79">
        <f>8051.2-15.9-1039.8</f>
        <v>6995.5</v>
      </c>
    </row>
    <row r="638" spans="1:7" ht="60" x14ac:dyDescent="0.25">
      <c r="A638" s="13" t="s">
        <v>433</v>
      </c>
      <c r="B638" s="14" t="s">
        <v>522</v>
      </c>
      <c r="C638" s="15" t="s">
        <v>434</v>
      </c>
      <c r="D638" s="16"/>
      <c r="E638" s="17">
        <f>SUM(E639:E640)</f>
        <v>261</v>
      </c>
      <c r="F638" s="17">
        <f t="shared" ref="F638:G638" si="280">SUM(F639:F640)</f>
        <v>269.5</v>
      </c>
      <c r="G638" s="17">
        <f t="shared" si="280"/>
        <v>269.5</v>
      </c>
    </row>
    <row r="639" spans="1:7" ht="30" x14ac:dyDescent="0.25">
      <c r="A639" s="13" t="s">
        <v>31</v>
      </c>
      <c r="B639" s="14" t="s">
        <v>522</v>
      </c>
      <c r="C639" s="15" t="s">
        <v>434</v>
      </c>
      <c r="D639" s="16">
        <v>200</v>
      </c>
      <c r="E639" s="17">
        <v>2.6</v>
      </c>
      <c r="F639" s="17">
        <v>2.7</v>
      </c>
      <c r="G639" s="17">
        <v>2.7</v>
      </c>
    </row>
    <row r="640" spans="1:7" x14ac:dyDescent="0.25">
      <c r="A640" s="13" t="s">
        <v>38</v>
      </c>
      <c r="B640" s="14" t="s">
        <v>522</v>
      </c>
      <c r="C640" s="15" t="s">
        <v>434</v>
      </c>
      <c r="D640" s="16">
        <v>300</v>
      </c>
      <c r="E640" s="17">
        <f>258.4</f>
        <v>258.39999999999998</v>
      </c>
      <c r="F640" s="17">
        <f>267.5-0.7</f>
        <v>266.8</v>
      </c>
      <c r="G640" s="17">
        <f>267.5-0.7</f>
        <v>266.8</v>
      </c>
    </row>
    <row r="641" spans="1:7" ht="60" x14ac:dyDescent="0.25">
      <c r="A641" s="13" t="s">
        <v>436</v>
      </c>
      <c r="B641" s="14" t="s">
        <v>522</v>
      </c>
      <c r="C641" s="15" t="s">
        <v>437</v>
      </c>
      <c r="D641" s="16"/>
      <c r="E641" s="17">
        <f>SUM(E642:E643)</f>
        <v>53705.599999999999</v>
      </c>
      <c r="F641" s="17">
        <f t="shared" ref="F641:G641" si="281">SUM(F642:F643)</f>
        <v>55525.599999999999</v>
      </c>
      <c r="G641" s="17">
        <f t="shared" si="281"/>
        <v>55525.599999999999</v>
      </c>
    </row>
    <row r="642" spans="1:7" ht="30" x14ac:dyDescent="0.25">
      <c r="A642" s="13" t="s">
        <v>31</v>
      </c>
      <c r="B642" s="14" t="s">
        <v>522</v>
      </c>
      <c r="C642" s="15" t="s">
        <v>437</v>
      </c>
      <c r="D642" s="16">
        <v>200</v>
      </c>
      <c r="E642" s="79">
        <v>400</v>
      </c>
      <c r="F642" s="17">
        <v>420</v>
      </c>
      <c r="G642" s="17">
        <v>420</v>
      </c>
    </row>
    <row r="643" spans="1:7" x14ac:dyDescent="0.25">
      <c r="A643" s="13" t="s">
        <v>38</v>
      </c>
      <c r="B643" s="14" t="s">
        <v>522</v>
      </c>
      <c r="C643" s="15" t="s">
        <v>437</v>
      </c>
      <c r="D643" s="16">
        <v>300</v>
      </c>
      <c r="E643" s="79">
        <f>53319-13.3-0.1</f>
        <v>53305.599999999999</v>
      </c>
      <c r="F643" s="79">
        <f>55264.5-158.9</f>
        <v>55105.599999999999</v>
      </c>
      <c r="G643" s="79">
        <f>55264.5-158.9</f>
        <v>55105.599999999999</v>
      </c>
    </row>
    <row r="644" spans="1:7" s="7" customFormat="1" x14ac:dyDescent="0.25">
      <c r="A644" s="8" t="s">
        <v>534</v>
      </c>
      <c r="B644" s="9" t="s">
        <v>535</v>
      </c>
      <c r="C644" s="10"/>
      <c r="D644" s="11"/>
      <c r="E644" s="12">
        <f>SUM(E645+E653)</f>
        <v>39035.399999999994</v>
      </c>
      <c r="F644" s="12">
        <f t="shared" ref="F644:G644" si="282">SUM(F645+F653)</f>
        <v>36726.199999999997</v>
      </c>
      <c r="G644" s="12">
        <f t="shared" si="282"/>
        <v>36776</v>
      </c>
    </row>
    <row r="645" spans="1:7" s="7" customFormat="1" x14ac:dyDescent="0.25">
      <c r="A645" s="8" t="s">
        <v>536</v>
      </c>
      <c r="B645" s="9" t="s">
        <v>537</v>
      </c>
      <c r="C645" s="10"/>
      <c r="D645" s="11"/>
      <c r="E645" s="12">
        <f>SUM(E646)</f>
        <v>29653.599999999999</v>
      </c>
      <c r="F645" s="12">
        <f t="shared" ref="F645:G645" si="283">SUM(F646)</f>
        <v>26137.9</v>
      </c>
      <c r="G645" s="12">
        <f t="shared" si="283"/>
        <v>26187.7</v>
      </c>
    </row>
    <row r="646" spans="1:7" ht="30" x14ac:dyDescent="0.25">
      <c r="A646" s="13" t="s">
        <v>538</v>
      </c>
      <c r="B646" s="14" t="s">
        <v>537</v>
      </c>
      <c r="C646" s="15" t="s">
        <v>539</v>
      </c>
      <c r="D646" s="16"/>
      <c r="E646" s="17">
        <f>SUM(E647+E650)</f>
        <v>29653.599999999999</v>
      </c>
      <c r="F646" s="17">
        <f t="shared" ref="F646:G646" si="284">SUM(F647+F650)</f>
        <v>26137.9</v>
      </c>
      <c r="G646" s="17">
        <f t="shared" si="284"/>
        <v>26187.7</v>
      </c>
    </row>
    <row r="647" spans="1:7" ht="30" x14ac:dyDescent="0.25">
      <c r="A647" s="13" t="s">
        <v>540</v>
      </c>
      <c r="B647" s="14" t="s">
        <v>537</v>
      </c>
      <c r="C647" s="15" t="s">
        <v>541</v>
      </c>
      <c r="D647" s="16"/>
      <c r="E647" s="17">
        <f>SUM(E648)</f>
        <v>26599.8</v>
      </c>
      <c r="F647" s="17">
        <f t="shared" ref="F647:G648" si="285">SUM(F648)</f>
        <v>26137.9</v>
      </c>
      <c r="G647" s="17">
        <f t="shared" si="285"/>
        <v>26187.7</v>
      </c>
    </row>
    <row r="648" spans="1:7" ht="30" x14ac:dyDescent="0.25">
      <c r="A648" s="13" t="s">
        <v>72</v>
      </c>
      <c r="B648" s="14" t="s">
        <v>537</v>
      </c>
      <c r="C648" s="15" t="s">
        <v>542</v>
      </c>
      <c r="D648" s="16"/>
      <c r="E648" s="17">
        <f>SUM(E649)</f>
        <v>26599.8</v>
      </c>
      <c r="F648" s="17">
        <f t="shared" si="285"/>
        <v>26137.9</v>
      </c>
      <c r="G648" s="17">
        <f t="shared" si="285"/>
        <v>26187.7</v>
      </c>
    </row>
    <row r="649" spans="1:7" ht="30" x14ac:dyDescent="0.25">
      <c r="A649" s="13" t="s">
        <v>201</v>
      </c>
      <c r="B649" s="14" t="s">
        <v>537</v>
      </c>
      <c r="C649" s="15" t="s">
        <v>542</v>
      </c>
      <c r="D649" s="16">
        <v>600</v>
      </c>
      <c r="E649" s="17">
        <f>24766.3+678.5+1155</f>
        <v>26599.8</v>
      </c>
      <c r="F649" s="17">
        <v>26137.9</v>
      </c>
      <c r="G649" s="17">
        <v>26187.7</v>
      </c>
    </row>
    <row r="650" spans="1:7" x14ac:dyDescent="0.25">
      <c r="A650" s="13" t="s">
        <v>543</v>
      </c>
      <c r="B650" s="14" t="s">
        <v>537</v>
      </c>
      <c r="C650" s="15" t="s">
        <v>581</v>
      </c>
      <c r="D650" s="16"/>
      <c r="E650" s="17">
        <f>SUM(E651)</f>
        <v>3053.8</v>
      </c>
      <c r="F650" s="17">
        <f t="shared" ref="F650:G651" si="286">SUM(F651)</f>
        <v>0</v>
      </c>
      <c r="G650" s="17">
        <f t="shared" si="286"/>
        <v>0</v>
      </c>
    </row>
    <row r="651" spans="1:7" ht="30" x14ac:dyDescent="0.25">
      <c r="A651" s="13" t="s">
        <v>545</v>
      </c>
      <c r="B651" s="14" t="s">
        <v>537</v>
      </c>
      <c r="C651" s="15" t="s">
        <v>544</v>
      </c>
      <c r="D651" s="16"/>
      <c r="E651" s="17">
        <f>SUM(E652)</f>
        <v>3053.8</v>
      </c>
      <c r="F651" s="17">
        <f t="shared" si="286"/>
        <v>0</v>
      </c>
      <c r="G651" s="17">
        <f t="shared" si="286"/>
        <v>0</v>
      </c>
    </row>
    <row r="652" spans="1:7" ht="30" x14ac:dyDescent="0.25">
      <c r="A652" s="13" t="s">
        <v>201</v>
      </c>
      <c r="B652" s="14" t="s">
        <v>537</v>
      </c>
      <c r="C652" s="15" t="s">
        <v>544</v>
      </c>
      <c r="D652" s="16">
        <v>600</v>
      </c>
      <c r="E652" s="17">
        <v>3053.8</v>
      </c>
      <c r="F652" s="17"/>
      <c r="G652" s="17"/>
    </row>
    <row r="653" spans="1:7" s="7" customFormat="1" x14ac:dyDescent="0.25">
      <c r="A653" s="8" t="s">
        <v>546</v>
      </c>
      <c r="B653" s="9" t="s">
        <v>547</v>
      </c>
      <c r="C653" s="10"/>
      <c r="D653" s="11"/>
      <c r="E653" s="12">
        <f>SUM(E654)</f>
        <v>9381.7999999999993</v>
      </c>
      <c r="F653" s="12">
        <f t="shared" ref="F653:G653" si="287">SUM(F654)</f>
        <v>10588.3</v>
      </c>
      <c r="G653" s="12">
        <f t="shared" si="287"/>
        <v>10588.3</v>
      </c>
    </row>
    <row r="654" spans="1:7" ht="30" x14ac:dyDescent="0.25">
      <c r="A654" s="13" t="s">
        <v>548</v>
      </c>
      <c r="B654" s="14" t="s">
        <v>547</v>
      </c>
      <c r="C654" s="15" t="s">
        <v>539</v>
      </c>
      <c r="D654" s="16"/>
      <c r="E654" s="17">
        <f>SUM(E655+E658)</f>
        <v>9381.7999999999993</v>
      </c>
      <c r="F654" s="17">
        <f t="shared" ref="F654:G654" si="288">SUM(F655+F658)</f>
        <v>10588.3</v>
      </c>
      <c r="G654" s="17">
        <f t="shared" si="288"/>
        <v>10588.3</v>
      </c>
    </row>
    <row r="655" spans="1:7" ht="30" x14ac:dyDescent="0.25">
      <c r="A655" s="13" t="s">
        <v>549</v>
      </c>
      <c r="B655" s="14" t="s">
        <v>547</v>
      </c>
      <c r="C655" s="15" t="s">
        <v>550</v>
      </c>
      <c r="D655" s="16"/>
      <c r="E655" s="17">
        <f>SUM(E656)</f>
        <v>344.9</v>
      </c>
      <c r="F655" s="17">
        <f t="shared" ref="F655:G656" si="289">SUM(F656)</f>
        <v>315</v>
      </c>
      <c r="G655" s="17">
        <f t="shared" si="289"/>
        <v>315</v>
      </c>
    </row>
    <row r="656" spans="1:7" ht="30" x14ac:dyDescent="0.25">
      <c r="A656" s="13" t="s">
        <v>551</v>
      </c>
      <c r="B656" s="14" t="s">
        <v>547</v>
      </c>
      <c r="C656" s="15" t="s">
        <v>552</v>
      </c>
      <c r="D656" s="16"/>
      <c r="E656" s="17">
        <f>SUM(E657)</f>
        <v>344.9</v>
      </c>
      <c r="F656" s="17">
        <f t="shared" si="289"/>
        <v>315</v>
      </c>
      <c r="G656" s="17">
        <f t="shared" si="289"/>
        <v>315</v>
      </c>
    </row>
    <row r="657" spans="1:7" ht="30" x14ac:dyDescent="0.25">
      <c r="A657" s="13" t="s">
        <v>31</v>
      </c>
      <c r="B657" s="14" t="s">
        <v>547</v>
      </c>
      <c r="C657" s="15" t="s">
        <v>552</v>
      </c>
      <c r="D657" s="16">
        <v>200</v>
      </c>
      <c r="E657" s="17">
        <f>144.9+200</f>
        <v>344.9</v>
      </c>
      <c r="F657" s="17">
        <v>315</v>
      </c>
      <c r="G657" s="17">
        <v>315</v>
      </c>
    </row>
    <row r="658" spans="1:7" ht="30" x14ac:dyDescent="0.25">
      <c r="A658" s="19" t="s">
        <v>553</v>
      </c>
      <c r="B658" s="14" t="s">
        <v>547</v>
      </c>
      <c r="C658" s="15" t="s">
        <v>554</v>
      </c>
      <c r="D658" s="16"/>
      <c r="E658" s="17">
        <f>SUM(E659+E662+E664+E667)</f>
        <v>9036.9</v>
      </c>
      <c r="F658" s="17">
        <f t="shared" ref="F658:G658" si="290">SUM(F659+F662+F664+F667)</f>
        <v>10273.299999999999</v>
      </c>
      <c r="G658" s="17">
        <f t="shared" si="290"/>
        <v>10273.299999999999</v>
      </c>
    </row>
    <row r="659" spans="1:7" ht="30" x14ac:dyDescent="0.25">
      <c r="A659" s="13" t="s">
        <v>555</v>
      </c>
      <c r="B659" s="14" t="s">
        <v>547</v>
      </c>
      <c r="C659" s="15" t="s">
        <v>556</v>
      </c>
      <c r="D659" s="16"/>
      <c r="E659" s="17">
        <f>SUM(E660:E661)</f>
        <v>5838.9</v>
      </c>
      <c r="F659" s="17">
        <f t="shared" ref="F659:G659" si="291">SUM(F660:F661)</f>
        <v>7127.3</v>
      </c>
      <c r="G659" s="17">
        <f t="shared" si="291"/>
        <v>7127.3</v>
      </c>
    </row>
    <row r="660" spans="1:7" ht="60" x14ac:dyDescent="0.25">
      <c r="A660" s="13" t="s">
        <v>20</v>
      </c>
      <c r="B660" s="14" t="s">
        <v>547</v>
      </c>
      <c r="C660" s="15" t="s">
        <v>556</v>
      </c>
      <c r="D660" s="16">
        <v>100</v>
      </c>
      <c r="E660" s="17">
        <v>755</v>
      </c>
      <c r="F660" s="17">
        <v>1115</v>
      </c>
      <c r="G660" s="17">
        <v>1115</v>
      </c>
    </row>
    <row r="661" spans="1:7" ht="30" x14ac:dyDescent="0.25">
      <c r="A661" s="13" t="s">
        <v>31</v>
      </c>
      <c r="B661" s="14" t="s">
        <v>547</v>
      </c>
      <c r="C661" s="15" t="s">
        <v>556</v>
      </c>
      <c r="D661" s="16">
        <v>200</v>
      </c>
      <c r="E661" s="17">
        <f>3335.9+1748</f>
        <v>5083.8999999999996</v>
      </c>
      <c r="F661" s="17">
        <v>6012.3</v>
      </c>
      <c r="G661" s="17">
        <v>6012.3</v>
      </c>
    </row>
    <row r="662" spans="1:7" ht="30" x14ac:dyDescent="0.25">
      <c r="A662" s="34" t="s">
        <v>557</v>
      </c>
      <c r="B662" s="14" t="s">
        <v>547</v>
      </c>
      <c r="C662" s="15" t="s">
        <v>558</v>
      </c>
      <c r="D662" s="16"/>
      <c r="E662" s="17">
        <f>SUM(E663)</f>
        <v>1207</v>
      </c>
      <c r="F662" s="17">
        <f t="shared" ref="F662:G662" si="292">SUM(F663)</f>
        <v>1155</v>
      </c>
      <c r="G662" s="17">
        <f t="shared" si="292"/>
        <v>1155</v>
      </c>
    </row>
    <row r="663" spans="1:7" ht="30" x14ac:dyDescent="0.25">
      <c r="A663" s="13" t="s">
        <v>31</v>
      </c>
      <c r="B663" s="14" t="s">
        <v>547</v>
      </c>
      <c r="C663" s="15" t="s">
        <v>558</v>
      </c>
      <c r="D663" s="35">
        <v>200</v>
      </c>
      <c r="E663" s="17">
        <f>1155+52</f>
        <v>1207</v>
      </c>
      <c r="F663" s="17">
        <v>1155</v>
      </c>
      <c r="G663" s="17">
        <v>1155</v>
      </c>
    </row>
    <row r="664" spans="1:7" x14ac:dyDescent="0.25">
      <c r="A664" s="34" t="s">
        <v>559</v>
      </c>
      <c r="B664" s="14" t="s">
        <v>547</v>
      </c>
      <c r="C664" s="15" t="s">
        <v>560</v>
      </c>
      <c r="D664" s="35"/>
      <c r="E664" s="17">
        <f>SUM(E665:E666)</f>
        <v>1760</v>
      </c>
      <c r="F664" s="17">
        <f t="shared" ref="F664:G664" si="293">SUM(F665:F666)</f>
        <v>1760</v>
      </c>
      <c r="G664" s="17">
        <f t="shared" si="293"/>
        <v>1760</v>
      </c>
    </row>
    <row r="665" spans="1:7" x14ac:dyDescent="0.25">
      <c r="A665" s="13" t="s">
        <v>38</v>
      </c>
      <c r="B665" s="14" t="s">
        <v>547</v>
      </c>
      <c r="C665" s="15" t="s">
        <v>560</v>
      </c>
      <c r="D665" s="35">
        <v>300</v>
      </c>
      <c r="E665" s="17">
        <v>500</v>
      </c>
      <c r="F665" s="17">
        <v>500</v>
      </c>
      <c r="G665" s="17">
        <v>500</v>
      </c>
    </row>
    <row r="666" spans="1:7" ht="30" x14ac:dyDescent="0.25">
      <c r="A666" s="13" t="s">
        <v>201</v>
      </c>
      <c r="B666" s="14" t="s">
        <v>547</v>
      </c>
      <c r="C666" s="15" t="s">
        <v>560</v>
      </c>
      <c r="D666" s="35">
        <v>600</v>
      </c>
      <c r="E666" s="17">
        <v>1260</v>
      </c>
      <c r="F666" s="17">
        <v>1260</v>
      </c>
      <c r="G666" s="17">
        <v>1260</v>
      </c>
    </row>
    <row r="667" spans="1:7" ht="30" x14ac:dyDescent="0.25">
      <c r="A667" s="13" t="s">
        <v>561</v>
      </c>
      <c r="B667" s="14" t="s">
        <v>547</v>
      </c>
      <c r="C667" s="15" t="s">
        <v>562</v>
      </c>
      <c r="D667" s="16"/>
      <c r="E667" s="17">
        <f>SUM(E668:E668)</f>
        <v>231</v>
      </c>
      <c r="F667" s="17">
        <f>SUM(F668:F668)</f>
        <v>231</v>
      </c>
      <c r="G667" s="17">
        <f>SUM(G668:G668)</f>
        <v>231</v>
      </c>
    </row>
    <row r="668" spans="1:7" ht="30" x14ac:dyDescent="0.25">
      <c r="A668" s="13" t="s">
        <v>31</v>
      </c>
      <c r="B668" s="14" t="s">
        <v>547</v>
      </c>
      <c r="C668" s="15" t="s">
        <v>562</v>
      </c>
      <c r="D668" s="16">
        <v>200</v>
      </c>
      <c r="E668" s="17">
        <v>231</v>
      </c>
      <c r="F668" s="17">
        <v>231</v>
      </c>
      <c r="G668" s="17">
        <v>231</v>
      </c>
    </row>
    <row r="669" spans="1:7" s="7" customFormat="1" x14ac:dyDescent="0.25">
      <c r="A669" s="80" t="s">
        <v>563</v>
      </c>
      <c r="B669" s="39" t="s">
        <v>564</v>
      </c>
      <c r="C669" s="39"/>
      <c r="D669" s="40"/>
      <c r="E669" s="12">
        <f>SUM(E670)</f>
        <v>28739.7</v>
      </c>
      <c r="F669" s="12">
        <f t="shared" ref="F669:G672" si="294">SUM(F670)</f>
        <v>26199.7</v>
      </c>
      <c r="G669" s="12">
        <f t="shared" si="294"/>
        <v>26213.5</v>
      </c>
    </row>
    <row r="670" spans="1:7" s="7" customFormat="1" x14ac:dyDescent="0.25">
      <c r="A670" s="38" t="s">
        <v>565</v>
      </c>
      <c r="B670" s="39" t="s">
        <v>566</v>
      </c>
      <c r="C670" s="39"/>
      <c r="D670" s="40"/>
      <c r="E670" s="12">
        <f>SUM(E671)</f>
        <v>28739.7</v>
      </c>
      <c r="F670" s="12">
        <f t="shared" si="294"/>
        <v>26199.7</v>
      </c>
      <c r="G670" s="12">
        <f t="shared" si="294"/>
        <v>26213.5</v>
      </c>
    </row>
    <row r="671" spans="1:7" x14ac:dyDescent="0.25">
      <c r="A671" s="49" t="s">
        <v>16</v>
      </c>
      <c r="B671" s="32" t="s">
        <v>566</v>
      </c>
      <c r="C671" s="32" t="s">
        <v>17</v>
      </c>
      <c r="D671" s="35"/>
      <c r="E671" s="17">
        <f>SUM(E672)</f>
        <v>28739.7</v>
      </c>
      <c r="F671" s="17">
        <f t="shared" si="294"/>
        <v>26199.7</v>
      </c>
      <c r="G671" s="17">
        <f t="shared" si="294"/>
        <v>26213.5</v>
      </c>
    </row>
    <row r="672" spans="1:7" ht="30" x14ac:dyDescent="0.25">
      <c r="A672" s="34" t="s">
        <v>72</v>
      </c>
      <c r="B672" s="32" t="s">
        <v>566</v>
      </c>
      <c r="C672" s="32" t="s">
        <v>61</v>
      </c>
      <c r="D672" s="35"/>
      <c r="E672" s="17">
        <f>SUM(E673)</f>
        <v>28739.7</v>
      </c>
      <c r="F672" s="17">
        <f t="shared" si="294"/>
        <v>26199.7</v>
      </c>
      <c r="G672" s="17">
        <f t="shared" si="294"/>
        <v>26213.5</v>
      </c>
    </row>
    <row r="673" spans="1:7" ht="30" x14ac:dyDescent="0.25">
      <c r="A673" s="34" t="s">
        <v>201</v>
      </c>
      <c r="B673" s="32" t="s">
        <v>566</v>
      </c>
      <c r="C673" s="32" t="s">
        <v>61</v>
      </c>
      <c r="D673" s="35">
        <v>600</v>
      </c>
      <c r="E673" s="17">
        <f>26337.9+2401.8</f>
        <v>28739.7</v>
      </c>
      <c r="F673" s="17">
        <v>26199.7</v>
      </c>
      <c r="G673" s="17">
        <v>26213.5</v>
      </c>
    </row>
    <row r="674" spans="1:7" s="7" customFormat="1" x14ac:dyDescent="0.25">
      <c r="A674" s="8" t="s">
        <v>576</v>
      </c>
      <c r="B674" s="9" t="s">
        <v>567</v>
      </c>
      <c r="C674" s="10"/>
      <c r="D674" s="11"/>
      <c r="E674" s="12">
        <f>SUM(E675)</f>
        <v>76193.900000000009</v>
      </c>
      <c r="F674" s="12">
        <f t="shared" ref="F674:G677" si="295">SUM(F675)</f>
        <v>67831.399999999994</v>
      </c>
      <c r="G674" s="12">
        <f t="shared" si="295"/>
        <v>68380.3</v>
      </c>
    </row>
    <row r="675" spans="1:7" s="7" customFormat="1" ht="29.25" x14ac:dyDescent="0.25">
      <c r="A675" s="8" t="s">
        <v>577</v>
      </c>
      <c r="B675" s="9" t="s">
        <v>568</v>
      </c>
      <c r="C675" s="10"/>
      <c r="D675" s="11"/>
      <c r="E675" s="12">
        <f>SUM(E676)</f>
        <v>76193.900000000009</v>
      </c>
      <c r="F675" s="12">
        <f t="shared" si="295"/>
        <v>67831.399999999994</v>
      </c>
      <c r="G675" s="12">
        <f t="shared" si="295"/>
        <v>68380.3</v>
      </c>
    </row>
    <row r="676" spans="1:7" x14ac:dyDescent="0.25">
      <c r="A676" s="13" t="s">
        <v>16</v>
      </c>
      <c r="B676" s="14" t="s">
        <v>568</v>
      </c>
      <c r="C676" s="15" t="s">
        <v>17</v>
      </c>
      <c r="D676" s="16"/>
      <c r="E676" s="17">
        <f>SUM(E677)</f>
        <v>76193.900000000009</v>
      </c>
      <c r="F676" s="17">
        <f t="shared" si="295"/>
        <v>67831.399999999994</v>
      </c>
      <c r="G676" s="17">
        <f t="shared" si="295"/>
        <v>68380.3</v>
      </c>
    </row>
    <row r="677" spans="1:7" x14ac:dyDescent="0.25">
      <c r="A677" s="13" t="s">
        <v>569</v>
      </c>
      <c r="B677" s="14" t="s">
        <v>568</v>
      </c>
      <c r="C677" s="15" t="s">
        <v>570</v>
      </c>
      <c r="D677" s="16"/>
      <c r="E677" s="17">
        <f>SUM(E678)</f>
        <v>76193.900000000009</v>
      </c>
      <c r="F677" s="17">
        <f t="shared" si="295"/>
        <v>67831.399999999994</v>
      </c>
      <c r="G677" s="17">
        <f t="shared" si="295"/>
        <v>68380.3</v>
      </c>
    </row>
    <row r="678" spans="1:7" x14ac:dyDescent="0.25">
      <c r="A678" s="13" t="s">
        <v>571</v>
      </c>
      <c r="B678" s="14" t="s">
        <v>568</v>
      </c>
      <c r="C678" s="15" t="s">
        <v>570</v>
      </c>
      <c r="D678" s="16">
        <v>700</v>
      </c>
      <c r="E678" s="17">
        <f>77338.3-1144.4</f>
        <v>76193.900000000009</v>
      </c>
      <c r="F678" s="17">
        <v>67831.399999999994</v>
      </c>
      <c r="G678" s="17">
        <f>68473.7-93.4</f>
        <v>68380.3</v>
      </c>
    </row>
    <row r="679" spans="1:7" x14ac:dyDescent="0.25">
      <c r="A679" s="19"/>
      <c r="B679" s="14"/>
      <c r="C679" s="15"/>
      <c r="D679" s="16"/>
      <c r="E679" s="17"/>
      <c r="F679" s="17"/>
      <c r="G679" s="17"/>
    </row>
    <row r="680" spans="1:7" x14ac:dyDescent="0.25">
      <c r="A680" s="8" t="s">
        <v>626</v>
      </c>
      <c r="B680" s="15"/>
      <c r="C680" s="14"/>
      <c r="D680" s="81"/>
      <c r="E680" s="82"/>
      <c r="F680" s="17">
        <f>91125.9+12325.5-3814.6+37974.3</f>
        <v>137611.09999999998</v>
      </c>
      <c r="G680" s="17">
        <f>191052.7+11158.1-1644.6-6034.9+25485</f>
        <v>220016.30000000002</v>
      </c>
    </row>
    <row r="681" spans="1:7" x14ac:dyDescent="0.25">
      <c r="A681" s="19"/>
      <c r="B681" s="14"/>
      <c r="C681" s="15"/>
      <c r="D681" s="16"/>
      <c r="E681" s="17"/>
      <c r="F681" s="17"/>
      <c r="G681" s="17"/>
    </row>
    <row r="682" spans="1:7" x14ac:dyDescent="0.25">
      <c r="A682" s="8" t="s">
        <v>572</v>
      </c>
      <c r="B682" s="10"/>
      <c r="C682" s="14"/>
      <c r="D682" s="83"/>
      <c r="E682" s="12">
        <f>E14+E100+E106+E133+E227+E380+E545+E582+E644+E669+E674+E680</f>
        <v>11472345.900000002</v>
      </c>
      <c r="F682" s="12">
        <f>F14+F100+F106+F133+F227+F380+F545+F582+F644+F669+F674+F680</f>
        <v>8949911.6999999974</v>
      </c>
      <c r="G682" s="12">
        <f>G14+G100+G106+G133+G227+G380+G545+G582+G644+G669+G674+G680</f>
        <v>9799782.2000000011</v>
      </c>
    </row>
    <row r="683" spans="1:7" x14ac:dyDescent="0.25">
      <c r="A683" s="19"/>
      <c r="B683" s="14"/>
      <c r="C683" s="15"/>
      <c r="D683" s="16"/>
      <c r="E683" s="17"/>
      <c r="F683" s="17"/>
      <c r="G683" s="146" t="s">
        <v>583</v>
      </c>
    </row>
    <row r="684" spans="1:7" x14ac:dyDescent="0.25">
      <c r="A684" s="19"/>
      <c r="B684" s="14"/>
      <c r="C684" s="15"/>
      <c r="D684" s="16"/>
      <c r="E684" s="17"/>
      <c r="F684" s="17"/>
      <c r="G684" s="17"/>
    </row>
    <row r="685" spans="1:7" x14ac:dyDescent="0.25">
      <c r="A685" s="19"/>
      <c r="B685" s="14"/>
      <c r="C685" s="15"/>
      <c r="D685" s="16"/>
      <c r="E685" s="17"/>
      <c r="F685" s="17"/>
      <c r="G685" s="17"/>
    </row>
    <row r="686" spans="1:7" x14ac:dyDescent="0.25">
      <c r="A686" s="19"/>
      <c r="B686" s="14"/>
      <c r="C686" s="15"/>
      <c r="D686" s="16"/>
      <c r="E686" s="17"/>
      <c r="F686" s="17"/>
      <c r="G686" s="17"/>
    </row>
    <row r="687" spans="1:7" x14ac:dyDescent="0.25">
      <c r="A687" s="19"/>
      <c r="B687" s="14"/>
      <c r="C687" s="15"/>
      <c r="D687" s="16"/>
      <c r="E687" s="17"/>
      <c r="F687" s="17"/>
      <c r="G687" s="17"/>
    </row>
    <row r="688" spans="1:7" x14ac:dyDescent="0.25">
      <c r="A688" s="19"/>
      <c r="B688" s="14"/>
      <c r="C688" s="15"/>
      <c r="D688" s="16"/>
      <c r="E688" s="17"/>
      <c r="F688" s="17"/>
      <c r="G688" s="17"/>
    </row>
    <row r="689" spans="1:7" x14ac:dyDescent="0.25">
      <c r="A689" s="19"/>
      <c r="B689" s="14"/>
      <c r="C689" s="15"/>
      <c r="D689" s="16"/>
      <c r="E689" s="17"/>
      <c r="F689" s="17"/>
      <c r="G689" s="17"/>
    </row>
    <row r="690" spans="1:7" x14ac:dyDescent="0.25">
      <c r="A690" s="19"/>
      <c r="B690" s="14"/>
      <c r="C690" s="15"/>
      <c r="D690" s="16"/>
      <c r="E690" s="17"/>
      <c r="F690" s="17"/>
      <c r="G690" s="17"/>
    </row>
    <row r="691" spans="1:7" x14ac:dyDescent="0.25">
      <c r="A691" s="19"/>
      <c r="B691" s="14"/>
      <c r="C691" s="15"/>
      <c r="D691" s="16"/>
      <c r="E691" s="17"/>
      <c r="F691" s="17"/>
      <c r="G691" s="17"/>
    </row>
    <row r="692" spans="1:7" x14ac:dyDescent="0.25">
      <c r="A692" s="19"/>
      <c r="B692" s="14"/>
      <c r="C692" s="15"/>
      <c r="D692" s="16"/>
      <c r="E692" s="17"/>
      <c r="F692" s="17"/>
      <c r="G692" s="17"/>
    </row>
    <row r="693" spans="1:7" x14ac:dyDescent="0.25">
      <c r="A693" s="19"/>
      <c r="B693" s="14"/>
      <c r="C693" s="15"/>
      <c r="D693" s="16"/>
      <c r="E693" s="17"/>
      <c r="F693" s="17"/>
      <c r="G693" s="17"/>
    </row>
    <row r="694" spans="1:7" x14ac:dyDescent="0.25">
      <c r="A694" s="19"/>
      <c r="B694" s="14"/>
      <c r="C694" s="15"/>
      <c r="D694" s="16"/>
      <c r="E694" s="17"/>
      <c r="F694" s="17"/>
      <c r="G694" s="17"/>
    </row>
    <row r="695" spans="1:7" x14ac:dyDescent="0.25">
      <c r="A695" s="19"/>
      <c r="B695" s="14"/>
      <c r="C695" s="15"/>
      <c r="D695" s="16"/>
      <c r="E695" s="17"/>
      <c r="F695" s="17"/>
      <c r="G695" s="17"/>
    </row>
    <row r="696" spans="1:7" x14ac:dyDescent="0.25">
      <c r="A696" s="19"/>
      <c r="B696" s="14"/>
      <c r="C696" s="15"/>
      <c r="D696" s="16"/>
      <c r="E696" s="17"/>
      <c r="F696" s="17"/>
      <c r="G696" s="17"/>
    </row>
    <row r="697" spans="1:7" x14ac:dyDescent="0.25">
      <c r="A697" s="19"/>
      <c r="B697" s="14"/>
      <c r="C697" s="15"/>
      <c r="D697" s="16"/>
      <c r="E697" s="17"/>
      <c r="F697" s="17"/>
      <c r="G697" s="17"/>
    </row>
    <row r="698" spans="1:7" x14ac:dyDescent="0.25">
      <c r="A698" s="19"/>
      <c r="B698" s="14"/>
      <c r="C698" s="15"/>
      <c r="D698" s="16"/>
      <c r="E698" s="17"/>
      <c r="F698" s="17"/>
      <c r="G698" s="17"/>
    </row>
    <row r="699" spans="1:7" x14ac:dyDescent="0.25">
      <c r="A699" s="19"/>
      <c r="B699" s="14"/>
      <c r="C699" s="15"/>
      <c r="D699" s="16"/>
      <c r="E699" s="17"/>
      <c r="F699" s="17"/>
      <c r="G699" s="17"/>
    </row>
    <row r="700" spans="1:7" x14ac:dyDescent="0.25">
      <c r="A700" s="19"/>
      <c r="B700" s="14"/>
      <c r="C700" s="15"/>
      <c r="D700" s="16"/>
      <c r="E700" s="17"/>
      <c r="F700" s="17"/>
      <c r="G700" s="17"/>
    </row>
    <row r="701" spans="1:7" x14ac:dyDescent="0.25">
      <c r="A701" s="19"/>
      <c r="B701" s="14"/>
      <c r="C701" s="15"/>
      <c r="D701" s="16"/>
      <c r="E701" s="17"/>
      <c r="F701" s="17"/>
      <c r="G701" s="17"/>
    </row>
    <row r="702" spans="1:7" x14ac:dyDescent="0.25">
      <c r="A702" s="19"/>
      <c r="B702" s="14"/>
      <c r="C702" s="15"/>
      <c r="D702" s="16"/>
      <c r="E702" s="17"/>
      <c r="F702" s="17"/>
      <c r="G702" s="17"/>
    </row>
    <row r="703" spans="1:7" x14ac:dyDescent="0.25">
      <c r="A703" s="19"/>
      <c r="B703" s="14"/>
      <c r="C703" s="15"/>
      <c r="D703" s="16"/>
      <c r="E703" s="17"/>
      <c r="F703" s="17"/>
      <c r="G703" s="17"/>
    </row>
    <row r="704" spans="1:7" x14ac:dyDescent="0.25">
      <c r="A704" s="19"/>
      <c r="B704" s="14"/>
      <c r="C704" s="15"/>
      <c r="D704" s="16"/>
      <c r="E704" s="17"/>
      <c r="F704" s="17"/>
      <c r="G704" s="17"/>
    </row>
    <row r="705" spans="1:7" x14ac:dyDescent="0.25">
      <c r="A705" s="19"/>
      <c r="B705" s="14"/>
      <c r="C705" s="15"/>
      <c r="D705" s="16"/>
      <c r="E705" s="17"/>
      <c r="F705" s="17"/>
      <c r="G705" s="17"/>
    </row>
    <row r="706" spans="1:7" x14ac:dyDescent="0.25">
      <c r="A706" s="19"/>
      <c r="B706" s="14"/>
      <c r="C706" s="15"/>
      <c r="D706" s="16"/>
      <c r="E706" s="17"/>
      <c r="F706" s="17"/>
      <c r="G706" s="17"/>
    </row>
    <row r="707" spans="1:7" x14ac:dyDescent="0.25">
      <c r="A707" s="19"/>
      <c r="B707" s="14"/>
      <c r="C707" s="15"/>
      <c r="D707" s="16"/>
      <c r="E707" s="17"/>
      <c r="F707" s="17"/>
      <c r="G707" s="17"/>
    </row>
    <row r="708" spans="1:7" x14ac:dyDescent="0.25">
      <c r="A708" s="19"/>
      <c r="B708" s="14"/>
      <c r="C708" s="15"/>
      <c r="D708" s="16"/>
      <c r="E708" s="17"/>
      <c r="F708" s="17"/>
      <c r="G708" s="17"/>
    </row>
    <row r="709" spans="1:7" x14ac:dyDescent="0.25">
      <c r="A709" s="19"/>
      <c r="B709" s="14"/>
      <c r="C709" s="15"/>
      <c r="D709" s="16"/>
      <c r="E709" s="17"/>
      <c r="F709" s="17"/>
      <c r="G709" s="17"/>
    </row>
    <row r="710" spans="1:7" x14ac:dyDescent="0.25">
      <c r="A710" s="19"/>
      <c r="B710" s="14"/>
      <c r="C710" s="15"/>
      <c r="D710" s="16"/>
      <c r="E710" s="17"/>
      <c r="F710" s="17"/>
      <c r="G710" s="17"/>
    </row>
    <row r="711" spans="1:7" x14ac:dyDescent="0.25">
      <c r="A711" s="19"/>
      <c r="B711" s="14"/>
      <c r="C711" s="15"/>
      <c r="D711" s="16"/>
      <c r="E711" s="17"/>
      <c r="F711" s="17"/>
      <c r="G711" s="17"/>
    </row>
    <row r="712" spans="1:7" x14ac:dyDescent="0.25">
      <c r="A712" s="19"/>
      <c r="B712" s="14"/>
      <c r="C712" s="15"/>
      <c r="D712" s="16"/>
      <c r="E712" s="17"/>
      <c r="F712" s="17"/>
      <c r="G712" s="17"/>
    </row>
    <row r="713" spans="1:7" x14ac:dyDescent="0.25">
      <c r="A713" s="19"/>
      <c r="B713" s="14"/>
      <c r="C713" s="15"/>
      <c r="D713" s="16"/>
      <c r="E713" s="17"/>
      <c r="F713" s="17"/>
      <c r="G713" s="17"/>
    </row>
    <row r="714" spans="1:7" x14ac:dyDescent="0.25">
      <c r="A714" s="19"/>
      <c r="B714" s="14"/>
      <c r="C714" s="15"/>
      <c r="D714" s="16"/>
      <c r="E714" s="17"/>
      <c r="F714" s="17"/>
      <c r="G714" s="17"/>
    </row>
    <row r="715" spans="1:7" x14ac:dyDescent="0.25">
      <c r="A715" s="19"/>
      <c r="B715" s="14"/>
      <c r="C715" s="15"/>
      <c r="D715" s="16"/>
      <c r="E715" s="17"/>
      <c r="F715" s="17"/>
      <c r="G715" s="17"/>
    </row>
    <row r="716" spans="1:7" x14ac:dyDescent="0.25">
      <c r="A716" s="19"/>
      <c r="B716" s="14"/>
      <c r="C716" s="15"/>
      <c r="D716" s="16"/>
      <c r="E716" s="17"/>
      <c r="F716" s="17"/>
      <c r="G716" s="17"/>
    </row>
    <row r="717" spans="1:7" x14ac:dyDescent="0.25">
      <c r="A717" s="19"/>
      <c r="B717" s="14"/>
      <c r="C717" s="15"/>
      <c r="D717" s="16"/>
      <c r="E717" s="17"/>
      <c r="F717" s="17"/>
      <c r="G717" s="17"/>
    </row>
    <row r="718" spans="1:7" x14ac:dyDescent="0.25">
      <c r="A718" s="19"/>
      <c r="B718" s="14"/>
      <c r="C718" s="15"/>
      <c r="D718" s="16"/>
      <c r="E718" s="17"/>
      <c r="F718" s="17"/>
      <c r="G718" s="17"/>
    </row>
    <row r="719" spans="1:7" x14ac:dyDescent="0.25">
      <c r="A719" s="19"/>
      <c r="B719" s="14"/>
      <c r="C719" s="15"/>
      <c r="D719" s="16"/>
      <c r="E719" s="17"/>
      <c r="F719" s="17"/>
      <c r="G719" s="17"/>
    </row>
    <row r="720" spans="1:7" x14ac:dyDescent="0.25">
      <c r="A720" s="19"/>
      <c r="B720" s="14"/>
      <c r="C720" s="15"/>
      <c r="D720" s="16"/>
      <c r="E720" s="17"/>
      <c r="F720" s="17"/>
      <c r="G720" s="17"/>
    </row>
    <row r="721" spans="1:7" x14ac:dyDescent="0.25">
      <c r="A721" s="19"/>
      <c r="B721" s="14"/>
      <c r="C721" s="15"/>
      <c r="D721" s="16"/>
      <c r="E721" s="17"/>
      <c r="F721" s="17"/>
      <c r="G721" s="17"/>
    </row>
    <row r="722" spans="1:7" x14ac:dyDescent="0.25">
      <c r="A722" s="19"/>
      <c r="B722" s="14"/>
      <c r="C722" s="15"/>
      <c r="D722" s="16"/>
      <c r="E722" s="17"/>
      <c r="F722" s="17"/>
      <c r="G722" s="17"/>
    </row>
    <row r="723" spans="1:7" x14ac:dyDescent="0.25">
      <c r="A723" s="19"/>
      <c r="B723" s="14"/>
      <c r="C723" s="15"/>
      <c r="D723" s="16"/>
      <c r="E723" s="17"/>
      <c r="F723" s="17"/>
      <c r="G723" s="17"/>
    </row>
    <row r="724" spans="1:7" x14ac:dyDescent="0.25">
      <c r="A724" s="19"/>
      <c r="B724" s="14"/>
      <c r="C724" s="15"/>
      <c r="D724" s="16"/>
      <c r="E724" s="17"/>
      <c r="F724" s="17"/>
      <c r="G724" s="17"/>
    </row>
    <row r="725" spans="1:7" x14ac:dyDescent="0.25">
      <c r="A725" s="19"/>
      <c r="B725" s="14"/>
      <c r="C725" s="15"/>
      <c r="D725" s="16"/>
      <c r="E725" s="17"/>
      <c r="F725" s="17"/>
      <c r="G725" s="17"/>
    </row>
    <row r="726" spans="1:7" x14ac:dyDescent="0.25">
      <c r="A726" s="19"/>
      <c r="B726" s="14"/>
      <c r="C726" s="15"/>
      <c r="D726" s="16"/>
      <c r="E726" s="17"/>
      <c r="F726" s="17"/>
      <c r="G726" s="17"/>
    </row>
    <row r="727" spans="1:7" x14ac:dyDescent="0.25">
      <c r="A727" s="19"/>
      <c r="B727" s="14"/>
      <c r="C727" s="15"/>
      <c r="D727" s="16"/>
      <c r="E727" s="17"/>
      <c r="F727" s="17"/>
      <c r="G727" s="17"/>
    </row>
    <row r="728" spans="1:7" x14ac:dyDescent="0.25">
      <c r="A728" s="19"/>
      <c r="B728" s="14"/>
      <c r="C728" s="15"/>
      <c r="D728" s="16"/>
      <c r="E728" s="17"/>
      <c r="F728" s="17"/>
      <c r="G728" s="17"/>
    </row>
    <row r="729" spans="1:7" x14ac:dyDescent="0.25">
      <c r="A729" s="19"/>
      <c r="B729" s="14"/>
      <c r="C729" s="15"/>
      <c r="D729" s="16"/>
      <c r="E729" s="17"/>
      <c r="F729" s="17"/>
      <c r="G729" s="17"/>
    </row>
    <row r="730" spans="1:7" x14ac:dyDescent="0.25">
      <c r="A730" s="19"/>
      <c r="B730" s="14"/>
      <c r="C730" s="15"/>
      <c r="D730" s="16"/>
      <c r="E730" s="17"/>
      <c r="F730" s="17"/>
      <c r="G730" s="17"/>
    </row>
    <row r="731" spans="1:7" x14ac:dyDescent="0.25">
      <c r="A731" s="19"/>
      <c r="B731" s="14"/>
      <c r="C731" s="15"/>
      <c r="D731" s="16"/>
      <c r="E731" s="17"/>
      <c r="F731" s="17"/>
      <c r="G731" s="17"/>
    </row>
    <row r="732" spans="1:7" s="7" customFormat="1" x14ac:dyDescent="0.25"/>
    <row r="733" spans="1:7" x14ac:dyDescent="0.25">
      <c r="A733" s="18"/>
      <c r="C733" s="18"/>
      <c r="D733" s="18"/>
    </row>
    <row r="734" spans="1:7" x14ac:dyDescent="0.25">
      <c r="A734" s="18"/>
      <c r="C734" s="18"/>
      <c r="D734" s="18"/>
    </row>
    <row r="735" spans="1:7" x14ac:dyDescent="0.25">
      <c r="A735" s="18"/>
      <c r="C735" s="18"/>
      <c r="D735" s="18"/>
    </row>
    <row r="736" spans="1:7" x14ac:dyDescent="0.25">
      <c r="A736" s="18"/>
      <c r="C736" s="18"/>
      <c r="D736" s="18"/>
    </row>
    <row r="737" spans="1:7" x14ac:dyDescent="0.25">
      <c r="A737" s="18"/>
      <c r="C737" s="18"/>
      <c r="D737" s="18"/>
    </row>
    <row r="738" spans="1:7" x14ac:dyDescent="0.25">
      <c r="A738" s="13"/>
      <c r="B738" s="14"/>
      <c r="C738" s="32"/>
      <c r="D738" s="16"/>
      <c r="E738" s="17"/>
      <c r="F738" s="17"/>
      <c r="G738" s="17"/>
    </row>
    <row r="739" spans="1:7" x14ac:dyDescent="0.25">
      <c r="A739" s="13"/>
      <c r="B739" s="14"/>
      <c r="C739" s="32"/>
      <c r="D739" s="16"/>
      <c r="E739" s="17"/>
      <c r="F739" s="17"/>
      <c r="G739" s="17"/>
    </row>
    <row r="740" spans="1:7" x14ac:dyDescent="0.25">
      <c r="A740" s="20"/>
      <c r="B740" s="14"/>
      <c r="C740" s="58"/>
      <c r="D740" s="16"/>
      <c r="E740" s="17"/>
      <c r="F740" s="17"/>
      <c r="G740" s="17"/>
    </row>
    <row r="741" spans="1:7" x14ac:dyDescent="0.25">
      <c r="A741" s="13"/>
      <c r="B741" s="14"/>
      <c r="C741" s="58"/>
      <c r="D741" s="16"/>
      <c r="E741" s="17"/>
      <c r="F741" s="17"/>
      <c r="G741" s="17"/>
    </row>
    <row r="742" spans="1:7" x14ac:dyDescent="0.25">
      <c r="A742" s="13"/>
      <c r="B742" s="14"/>
      <c r="C742" s="58"/>
      <c r="D742" s="16"/>
      <c r="E742" s="17"/>
      <c r="F742" s="17"/>
      <c r="G742" s="17"/>
    </row>
    <row r="743" spans="1:7" x14ac:dyDescent="0.25">
      <c r="A743" s="19"/>
      <c r="B743" s="14"/>
      <c r="C743" s="58"/>
      <c r="D743" s="16"/>
      <c r="E743" s="17"/>
      <c r="F743" s="17"/>
      <c r="G743" s="17"/>
    </row>
    <row r="744" spans="1:7" x14ac:dyDescent="0.25">
      <c r="A744" s="19"/>
      <c r="B744" s="14"/>
      <c r="C744" s="58"/>
      <c r="D744" s="16"/>
      <c r="E744" s="17"/>
      <c r="F744" s="17"/>
      <c r="G744" s="17"/>
    </row>
    <row r="745" spans="1:7" x14ac:dyDescent="0.25">
      <c r="A745" s="13"/>
      <c r="B745" s="14"/>
      <c r="C745" s="58"/>
      <c r="D745" s="16"/>
      <c r="E745" s="17"/>
      <c r="F745" s="17"/>
      <c r="G745" s="17"/>
    </row>
    <row r="746" spans="1:7" x14ac:dyDescent="0.25">
      <c r="A746" s="13"/>
      <c r="B746" s="14"/>
      <c r="C746" s="58"/>
      <c r="D746" s="16"/>
      <c r="E746" s="17"/>
      <c r="F746" s="17"/>
      <c r="G746" s="17"/>
    </row>
    <row r="747" spans="1:7" x14ac:dyDescent="0.25">
      <c r="A747" s="13"/>
      <c r="B747" s="14"/>
      <c r="C747" s="58"/>
      <c r="D747" s="16"/>
      <c r="E747" s="17"/>
      <c r="F747" s="17"/>
      <c r="G747" s="17"/>
    </row>
    <row r="748" spans="1:7" x14ac:dyDescent="0.25">
      <c r="A748" s="19"/>
      <c r="B748" s="14"/>
      <c r="C748" s="58"/>
      <c r="D748" s="16"/>
      <c r="E748" s="17"/>
      <c r="F748" s="17"/>
      <c r="G748" s="17"/>
    </row>
    <row r="749" spans="1:7" x14ac:dyDescent="0.25">
      <c r="A749" s="84"/>
      <c r="B749" s="14"/>
      <c r="C749" s="58"/>
      <c r="D749" s="16"/>
      <c r="E749" s="17"/>
      <c r="F749" s="17"/>
      <c r="G749" s="17"/>
    </row>
    <row r="750" spans="1:7" x14ac:dyDescent="0.25">
      <c r="A750" s="84"/>
      <c r="B750" s="14"/>
      <c r="C750" s="58"/>
      <c r="D750" s="16"/>
      <c r="E750" s="17"/>
      <c r="F750" s="17"/>
      <c r="G750" s="17"/>
    </row>
    <row r="751" spans="1:7" x14ac:dyDescent="0.25">
      <c r="A751" s="13"/>
      <c r="B751" s="14"/>
      <c r="C751" s="58"/>
      <c r="D751" s="16"/>
      <c r="E751" s="17"/>
      <c r="F751" s="17"/>
      <c r="G751" s="17"/>
    </row>
    <row r="752" spans="1:7" x14ac:dyDescent="0.25">
      <c r="A752" s="8"/>
      <c r="B752" s="9"/>
      <c r="C752" s="73"/>
      <c r="D752" s="11"/>
      <c r="E752" s="12"/>
      <c r="F752" s="12"/>
      <c r="G752" s="12"/>
    </row>
    <row r="753" spans="1:7" x14ac:dyDescent="0.25">
      <c r="A753" s="8"/>
      <c r="B753" s="9"/>
      <c r="C753" s="10"/>
      <c r="D753" s="11"/>
      <c r="E753" s="12"/>
      <c r="F753" s="12"/>
      <c r="G753" s="12"/>
    </row>
    <row r="754" spans="1:7" x14ac:dyDescent="0.25">
      <c r="A754" s="19"/>
      <c r="B754" s="14"/>
      <c r="C754" s="72"/>
      <c r="D754" s="16"/>
      <c r="E754" s="17"/>
      <c r="F754" s="17"/>
      <c r="G754" s="17"/>
    </row>
    <row r="755" spans="1:7" x14ac:dyDescent="0.25">
      <c r="A755" s="13"/>
      <c r="B755" s="14"/>
      <c r="C755" s="58"/>
      <c r="D755" s="16"/>
      <c r="E755" s="17"/>
      <c r="F755" s="17"/>
      <c r="G755" s="17"/>
    </row>
    <row r="756" spans="1:7" x14ac:dyDescent="0.25">
      <c r="A756" s="13"/>
      <c r="B756" s="14"/>
      <c r="C756" s="58"/>
      <c r="D756" s="16"/>
      <c r="E756" s="17"/>
      <c r="F756" s="17"/>
      <c r="G756" s="17"/>
    </row>
    <row r="757" spans="1:7" x14ac:dyDescent="0.25">
      <c r="A757" s="19"/>
      <c r="B757" s="14"/>
      <c r="C757" s="58"/>
      <c r="D757" s="16"/>
      <c r="E757" s="17"/>
      <c r="F757" s="17"/>
      <c r="G757" s="17"/>
    </row>
    <row r="758" spans="1:7" x14ac:dyDescent="0.25">
      <c r="A758" s="13"/>
      <c r="B758" s="14"/>
      <c r="C758" s="58"/>
      <c r="D758" s="16"/>
      <c r="E758" s="17"/>
      <c r="F758" s="17"/>
      <c r="G758" s="17"/>
    </row>
    <row r="759" spans="1:7" x14ac:dyDescent="0.25">
      <c r="A759" s="13"/>
      <c r="B759" s="14"/>
      <c r="C759" s="58"/>
      <c r="D759" s="15"/>
      <c r="E759" s="17"/>
      <c r="F759" s="17"/>
      <c r="G759" s="17"/>
    </row>
    <row r="760" spans="1:7" x14ac:dyDescent="0.25">
      <c r="A760" s="13"/>
      <c r="B760" s="14"/>
      <c r="C760" s="58"/>
      <c r="D760" s="15"/>
      <c r="E760" s="17"/>
      <c r="F760" s="17"/>
      <c r="G760" s="17"/>
    </row>
    <row r="761" spans="1:7" x14ac:dyDescent="0.25">
      <c r="A761" s="19"/>
      <c r="B761" s="14"/>
      <c r="C761" s="15"/>
      <c r="D761" s="15"/>
      <c r="E761" s="17"/>
      <c r="F761" s="17"/>
      <c r="G761" s="17"/>
    </row>
    <row r="762" spans="1:7" x14ac:dyDescent="0.25">
      <c r="A762" s="13"/>
      <c r="B762" s="14"/>
      <c r="C762" s="15"/>
      <c r="D762" s="16"/>
      <c r="E762" s="17"/>
      <c r="F762" s="17"/>
      <c r="G762" s="17"/>
    </row>
    <row r="763" spans="1:7" ht="34.5" customHeight="1" x14ac:dyDescent="0.25">
      <c r="A763" s="43"/>
      <c r="B763" s="77"/>
      <c r="C763" s="77"/>
      <c r="D763" s="14"/>
      <c r="E763" s="17"/>
      <c r="F763" s="17"/>
      <c r="G763" s="17"/>
    </row>
    <row r="764" spans="1:7" x14ac:dyDescent="0.25">
      <c r="A764" s="13"/>
      <c r="B764" s="77"/>
      <c r="C764" s="77"/>
      <c r="D764" s="14"/>
      <c r="E764" s="17"/>
      <c r="F764" s="17"/>
      <c r="G764" s="17"/>
    </row>
    <row r="765" spans="1:7" x14ac:dyDescent="0.25">
      <c r="A765" s="8"/>
      <c r="B765" s="9"/>
      <c r="C765" s="10"/>
      <c r="D765" s="10"/>
      <c r="E765" s="12"/>
      <c r="F765" s="12"/>
      <c r="G765" s="12"/>
    </row>
    <row r="766" spans="1:7" x14ac:dyDescent="0.25">
      <c r="A766" s="19"/>
      <c r="B766" s="14"/>
      <c r="C766" s="72"/>
      <c r="D766" s="15"/>
      <c r="E766" s="17"/>
      <c r="F766" s="17"/>
      <c r="G766" s="17"/>
    </row>
    <row r="767" spans="1:7" x14ac:dyDescent="0.25">
      <c r="A767" s="34"/>
      <c r="B767" s="21"/>
      <c r="C767" s="21"/>
      <c r="D767" s="15"/>
      <c r="E767" s="17"/>
      <c r="F767" s="17"/>
      <c r="G767" s="17"/>
    </row>
    <row r="768" spans="1:7" x14ac:dyDescent="0.25">
      <c r="A768" s="34"/>
      <c r="B768" s="21"/>
      <c r="C768" s="21"/>
      <c r="D768" s="15"/>
      <c r="E768" s="17"/>
      <c r="F768" s="17"/>
      <c r="G768" s="17"/>
    </row>
    <row r="769" spans="1:7" x14ac:dyDescent="0.25">
      <c r="A769" s="13"/>
      <c r="B769" s="21"/>
      <c r="C769" s="21"/>
      <c r="D769" s="21"/>
      <c r="E769" s="17"/>
      <c r="F769" s="17"/>
      <c r="G769" s="17"/>
    </row>
    <row r="770" spans="1:7" x14ac:dyDescent="0.25">
      <c r="A770" s="13"/>
      <c r="B770" s="21"/>
      <c r="C770" s="21"/>
      <c r="D770" s="21"/>
      <c r="E770" s="17"/>
      <c r="F770" s="17"/>
      <c r="G770" s="17"/>
    </row>
    <row r="771" spans="1:7" x14ac:dyDescent="0.25">
      <c r="A771" s="13"/>
      <c r="B771" s="14"/>
      <c r="C771" s="15"/>
      <c r="D771" s="15"/>
      <c r="E771" s="17"/>
      <c r="F771" s="17"/>
      <c r="G771" s="17"/>
    </row>
    <row r="772" spans="1:7" x14ac:dyDescent="0.25">
      <c r="A772" s="13"/>
      <c r="B772" s="14"/>
      <c r="C772" s="15"/>
      <c r="D772" s="15"/>
      <c r="E772" s="17"/>
      <c r="F772" s="17"/>
      <c r="G772" s="17"/>
    </row>
    <row r="773" spans="1:7" x14ac:dyDescent="0.25">
      <c r="A773" s="20"/>
      <c r="B773" s="14"/>
      <c r="C773" s="15"/>
      <c r="D773" s="15"/>
      <c r="E773" s="17"/>
      <c r="F773" s="17"/>
      <c r="G773" s="17"/>
    </row>
    <row r="774" spans="1:7" x14ac:dyDescent="0.25">
      <c r="A774" s="13"/>
      <c r="B774" s="14"/>
      <c r="C774" s="15"/>
      <c r="D774" s="15"/>
      <c r="E774" s="17"/>
      <c r="F774" s="17"/>
      <c r="G774" s="17"/>
    </row>
    <row r="775" spans="1:7" ht="296.25" customHeight="1" x14ac:dyDescent="0.25">
      <c r="A775" s="13"/>
      <c r="B775" s="14"/>
      <c r="C775" s="15"/>
      <c r="D775" s="15"/>
      <c r="E775" s="17"/>
      <c r="F775" s="17"/>
      <c r="G775" s="17"/>
    </row>
    <row r="776" spans="1:7" x14ac:dyDescent="0.25">
      <c r="A776" s="19"/>
      <c r="B776" s="14"/>
      <c r="C776" s="15"/>
      <c r="D776" s="15"/>
      <c r="E776" s="17"/>
      <c r="F776" s="17"/>
      <c r="G776" s="17"/>
    </row>
    <row r="777" spans="1:7" x14ac:dyDescent="0.25">
      <c r="A777" s="13"/>
      <c r="B777" s="14"/>
      <c r="C777" s="15"/>
      <c r="D777" s="15"/>
      <c r="E777" s="17"/>
      <c r="F777" s="17"/>
      <c r="G777" s="17"/>
    </row>
    <row r="778" spans="1:7" x14ac:dyDescent="0.25">
      <c r="A778" s="13"/>
      <c r="B778" s="14"/>
      <c r="C778" s="15"/>
      <c r="D778" s="15"/>
      <c r="E778" s="17"/>
      <c r="F778" s="17"/>
      <c r="G778" s="17"/>
    </row>
    <row r="779" spans="1:7" x14ac:dyDescent="0.25">
      <c r="A779" s="19"/>
      <c r="B779" s="14"/>
      <c r="C779" s="15"/>
      <c r="D779" s="16"/>
      <c r="E779" s="17"/>
      <c r="F779" s="17"/>
      <c r="G779" s="17"/>
    </row>
    <row r="780" spans="1:7" x14ac:dyDescent="0.25">
      <c r="A780" s="13"/>
      <c r="B780" s="14"/>
      <c r="C780" s="15"/>
      <c r="D780" s="16"/>
      <c r="E780" s="17"/>
      <c r="F780" s="17"/>
      <c r="G780" s="17"/>
    </row>
    <row r="781" spans="1:7" x14ac:dyDescent="0.25">
      <c r="A781" s="13"/>
      <c r="B781" s="14"/>
      <c r="C781" s="15"/>
      <c r="D781" s="16"/>
      <c r="E781" s="17"/>
      <c r="F781" s="17"/>
      <c r="G781" s="17"/>
    </row>
    <row r="782" spans="1:7" x14ac:dyDescent="0.25">
      <c r="A782" s="8"/>
      <c r="B782" s="9"/>
      <c r="C782" s="10"/>
      <c r="D782" s="11"/>
      <c r="E782" s="12"/>
      <c r="F782" s="12"/>
      <c r="G782" s="12"/>
    </row>
    <row r="783" spans="1:7" x14ac:dyDescent="0.25">
      <c r="A783" s="13"/>
      <c r="B783" s="14"/>
      <c r="C783" s="15"/>
      <c r="D783" s="11"/>
      <c r="E783" s="12"/>
      <c r="F783" s="12"/>
      <c r="G783" s="12"/>
    </row>
    <row r="784" spans="1:7" x14ac:dyDescent="0.25">
      <c r="A784" s="13"/>
      <c r="B784" s="14"/>
      <c r="C784" s="15"/>
      <c r="D784" s="11"/>
      <c r="E784" s="17"/>
      <c r="F784" s="17"/>
      <c r="G784" s="17"/>
    </row>
    <row r="785" spans="1:7" x14ac:dyDescent="0.25">
      <c r="A785" s="13"/>
      <c r="B785" s="14"/>
      <c r="C785" s="15"/>
      <c r="D785" s="11"/>
      <c r="E785" s="17"/>
      <c r="F785" s="17"/>
      <c r="G785" s="17"/>
    </row>
    <row r="786" spans="1:7" x14ac:dyDescent="0.25">
      <c r="A786" s="13"/>
      <c r="B786" s="14"/>
      <c r="C786" s="15"/>
      <c r="D786" s="16"/>
      <c r="E786" s="17"/>
      <c r="F786" s="17"/>
      <c r="G786" s="17"/>
    </row>
    <row r="787" spans="1:7" x14ac:dyDescent="0.25">
      <c r="A787" s="13"/>
      <c r="B787" s="14"/>
      <c r="C787" s="15"/>
      <c r="D787" s="16"/>
      <c r="E787" s="17"/>
      <c r="F787" s="17"/>
      <c r="G787" s="17"/>
    </row>
    <row r="788" spans="1:7" x14ac:dyDescent="0.25">
      <c r="A788" s="8"/>
      <c r="B788" s="9"/>
      <c r="C788" s="10"/>
      <c r="D788" s="11"/>
      <c r="E788" s="12"/>
      <c r="F788" s="12"/>
      <c r="G788" s="12"/>
    </row>
    <row r="789" spans="1:7" x14ac:dyDescent="0.25">
      <c r="A789" s="13"/>
      <c r="B789" s="14"/>
      <c r="C789" s="15"/>
      <c r="D789" s="16"/>
      <c r="E789" s="17"/>
      <c r="F789" s="17"/>
      <c r="G789" s="17"/>
    </row>
    <row r="790" spans="1:7" x14ac:dyDescent="0.25">
      <c r="A790" s="13"/>
      <c r="B790" s="14"/>
      <c r="C790" s="15"/>
      <c r="D790" s="16"/>
      <c r="E790" s="17"/>
      <c r="F790" s="17"/>
      <c r="G790" s="17"/>
    </row>
    <row r="791" spans="1:7" x14ac:dyDescent="0.25">
      <c r="A791" s="13"/>
      <c r="B791" s="14"/>
      <c r="C791" s="15"/>
      <c r="D791" s="16"/>
      <c r="E791" s="17"/>
      <c r="F791" s="17"/>
      <c r="G791" s="17"/>
    </row>
    <row r="792" spans="1:7" x14ac:dyDescent="0.25">
      <c r="A792" s="13"/>
      <c r="B792" s="14"/>
      <c r="C792" s="15"/>
      <c r="D792" s="16"/>
      <c r="E792" s="17"/>
      <c r="F792" s="17"/>
      <c r="G792" s="17"/>
    </row>
    <row r="793" spans="1:7" x14ac:dyDescent="0.25">
      <c r="A793" s="13"/>
      <c r="B793" s="14"/>
      <c r="C793" s="15"/>
      <c r="D793" s="16"/>
      <c r="E793" s="17"/>
      <c r="F793" s="17"/>
      <c r="G793" s="17"/>
    </row>
    <row r="794" spans="1:7" x14ac:dyDescent="0.25">
      <c r="A794" s="19"/>
      <c r="B794" s="14"/>
      <c r="C794" s="15"/>
      <c r="D794" s="16"/>
      <c r="E794" s="17"/>
      <c r="F794" s="17"/>
      <c r="G794" s="17"/>
    </row>
    <row r="795" spans="1:7" x14ac:dyDescent="0.25">
      <c r="A795" s="13"/>
      <c r="B795" s="14"/>
      <c r="C795" s="15"/>
      <c r="D795" s="16"/>
      <c r="E795" s="17"/>
      <c r="F795" s="17"/>
      <c r="G795" s="17"/>
    </row>
    <row r="796" spans="1:7" ht="35.25" customHeight="1" x14ac:dyDescent="0.25">
      <c r="A796" s="13"/>
      <c r="B796" s="14"/>
      <c r="C796" s="15"/>
      <c r="D796" s="16"/>
      <c r="E796" s="17"/>
      <c r="F796" s="17"/>
      <c r="G796" s="17"/>
    </row>
    <row r="797" spans="1:7" x14ac:dyDescent="0.25">
      <c r="A797" s="13"/>
      <c r="B797" s="14"/>
      <c r="C797" s="15"/>
      <c r="D797" s="16"/>
      <c r="E797" s="17"/>
      <c r="F797" s="17"/>
      <c r="G797" s="17"/>
    </row>
    <row r="798" spans="1:7" x14ac:dyDescent="0.25">
      <c r="A798" s="13"/>
      <c r="B798" s="14"/>
      <c r="C798" s="15"/>
      <c r="D798" s="16"/>
      <c r="E798" s="17"/>
      <c r="F798" s="17"/>
      <c r="G798" s="17"/>
    </row>
    <row r="799" spans="1:7" x14ac:dyDescent="0.25">
      <c r="A799" s="13"/>
      <c r="B799" s="14"/>
      <c r="C799" s="15"/>
      <c r="D799" s="16"/>
      <c r="E799" s="17"/>
      <c r="F799" s="17"/>
      <c r="G799" s="17"/>
    </row>
    <row r="800" spans="1:7" ht="30" customHeight="1" x14ac:dyDescent="0.25">
      <c r="A800" s="13"/>
      <c r="B800" s="14"/>
      <c r="C800" s="15"/>
      <c r="D800" s="16"/>
      <c r="E800" s="17"/>
      <c r="F800" s="17"/>
      <c r="G800" s="17"/>
    </row>
    <row r="801" spans="1:7" x14ac:dyDescent="0.25">
      <c r="A801" s="19"/>
      <c r="B801" s="14"/>
      <c r="C801" s="15"/>
      <c r="D801" s="16"/>
      <c r="E801" s="17"/>
      <c r="F801" s="17"/>
      <c r="G801" s="17"/>
    </row>
    <row r="802" spans="1:7" x14ac:dyDescent="0.25">
      <c r="A802" s="31"/>
      <c r="B802" s="32"/>
      <c r="C802" s="32"/>
      <c r="D802" s="35"/>
      <c r="E802" s="17"/>
      <c r="F802" s="17"/>
      <c r="G802" s="17"/>
    </row>
    <row r="803" spans="1:7" x14ac:dyDescent="0.25">
      <c r="A803" s="31"/>
      <c r="B803" s="32"/>
      <c r="C803" s="32"/>
      <c r="D803" s="35"/>
      <c r="E803" s="17"/>
      <c r="F803" s="17"/>
      <c r="G803" s="17"/>
    </row>
    <row r="804" spans="1:7" x14ac:dyDescent="0.25">
      <c r="A804" s="31"/>
      <c r="B804" s="32"/>
      <c r="C804" s="32"/>
      <c r="D804" s="35"/>
      <c r="E804" s="17"/>
      <c r="F804" s="17"/>
      <c r="G804" s="17"/>
    </row>
    <row r="805" spans="1:7" x14ac:dyDescent="0.25">
      <c r="A805" s="31"/>
      <c r="B805" s="32"/>
      <c r="C805" s="32"/>
      <c r="D805" s="35"/>
      <c r="E805" s="17"/>
      <c r="F805" s="17"/>
      <c r="G805" s="17"/>
    </row>
    <row r="806" spans="1:7" x14ac:dyDescent="0.25">
      <c r="A806" s="13"/>
      <c r="B806" s="32"/>
      <c r="C806" s="32"/>
      <c r="D806" s="35"/>
      <c r="E806" s="17"/>
      <c r="F806" s="17"/>
      <c r="G806" s="17"/>
    </row>
    <row r="807" spans="1:7" x14ac:dyDescent="0.25">
      <c r="A807" s="31"/>
      <c r="B807" s="32"/>
      <c r="C807" s="32"/>
      <c r="D807" s="35"/>
      <c r="E807" s="17"/>
      <c r="F807" s="17"/>
      <c r="G807" s="17"/>
    </row>
    <row r="808" spans="1:7" x14ac:dyDescent="0.25">
      <c r="A808" s="31"/>
      <c r="B808" s="32"/>
      <c r="C808" s="32"/>
      <c r="D808" s="35"/>
      <c r="E808" s="17"/>
      <c r="F808" s="17"/>
      <c r="G808" s="17"/>
    </row>
    <row r="809" spans="1:7" x14ac:dyDescent="0.25">
      <c r="A809" s="31"/>
      <c r="B809" s="32"/>
      <c r="C809" s="32"/>
      <c r="D809" s="35"/>
      <c r="E809" s="17"/>
      <c r="F809" s="17"/>
      <c r="G809" s="17"/>
    </row>
    <row r="810" spans="1:7" x14ac:dyDescent="0.25">
      <c r="A810" s="13"/>
      <c r="B810" s="32"/>
      <c r="C810" s="32"/>
      <c r="D810" s="35"/>
      <c r="E810" s="17"/>
      <c r="F810" s="17"/>
      <c r="G810" s="17"/>
    </row>
    <row r="811" spans="1:7" x14ac:dyDescent="0.25">
      <c r="A811" s="43"/>
      <c r="B811" s="32"/>
      <c r="C811" s="32"/>
      <c r="D811" s="35"/>
      <c r="E811" s="17"/>
      <c r="F811" s="17"/>
      <c r="G811" s="17"/>
    </row>
    <row r="812" spans="1:7" x14ac:dyDescent="0.25">
      <c r="A812" s="43"/>
      <c r="B812" s="32"/>
      <c r="C812" s="32"/>
      <c r="D812" s="35"/>
      <c r="E812" s="17"/>
      <c r="F812" s="17"/>
      <c r="G812" s="17"/>
    </row>
    <row r="813" spans="1:7" x14ac:dyDescent="0.25">
      <c r="A813" s="43"/>
      <c r="B813" s="32"/>
      <c r="C813" s="113"/>
      <c r="D813" s="35"/>
      <c r="E813" s="17"/>
      <c r="F813" s="17"/>
      <c r="G813" s="17"/>
    </row>
    <row r="814" spans="1:7" x14ac:dyDescent="0.25">
      <c r="A814" s="13"/>
      <c r="B814" s="32"/>
      <c r="C814" s="113"/>
      <c r="D814" s="35"/>
      <c r="E814" s="17"/>
      <c r="F814" s="17"/>
      <c r="G814" s="17"/>
    </row>
    <row r="815" spans="1:7" x14ac:dyDescent="0.25">
      <c r="A815" s="38"/>
      <c r="B815" s="39"/>
      <c r="C815" s="39"/>
      <c r="D815" s="39"/>
      <c r="E815" s="12"/>
      <c r="F815" s="12"/>
      <c r="G815" s="12"/>
    </row>
    <row r="816" spans="1:7" x14ac:dyDescent="0.25">
      <c r="A816" s="31"/>
      <c r="B816" s="32"/>
      <c r="C816" s="32"/>
      <c r="D816" s="32"/>
      <c r="E816" s="17"/>
      <c r="F816" s="17"/>
      <c r="G816" s="17"/>
    </row>
    <row r="817" spans="1:7" x14ac:dyDescent="0.25">
      <c r="A817" s="13"/>
      <c r="B817" s="32"/>
      <c r="C817" s="15"/>
      <c r="D817" s="32"/>
      <c r="E817" s="17"/>
      <c r="F817" s="17"/>
      <c r="G817" s="17"/>
    </row>
    <row r="818" spans="1:7" x14ac:dyDescent="0.25">
      <c r="A818" s="19"/>
      <c r="B818" s="32"/>
      <c r="C818" s="15"/>
      <c r="D818" s="32"/>
      <c r="E818" s="17"/>
      <c r="F818" s="17"/>
      <c r="G818" s="17"/>
    </row>
    <row r="819" spans="1:7" x14ac:dyDescent="0.25">
      <c r="A819" s="43"/>
      <c r="B819" s="14"/>
      <c r="C819" s="113"/>
      <c r="D819" s="16"/>
      <c r="E819" s="17"/>
      <c r="F819" s="17"/>
      <c r="G819" s="17"/>
    </row>
    <row r="820" spans="1:7" x14ac:dyDescent="0.25">
      <c r="A820" s="13"/>
      <c r="B820" s="14"/>
      <c r="C820" s="113"/>
      <c r="D820" s="16"/>
      <c r="E820" s="17"/>
      <c r="F820" s="17"/>
      <c r="G820" s="17"/>
    </row>
    <row r="821" spans="1:7" x14ac:dyDescent="0.25">
      <c r="A821" s="42"/>
      <c r="B821" s="32"/>
      <c r="C821" s="15"/>
      <c r="D821" s="32"/>
      <c r="E821" s="17"/>
      <c r="F821" s="17"/>
      <c r="G821" s="17"/>
    </row>
    <row r="822" spans="1:7" x14ac:dyDescent="0.25">
      <c r="A822" s="13"/>
      <c r="B822" s="32"/>
      <c r="C822" s="15"/>
      <c r="D822" s="32"/>
      <c r="E822" s="17"/>
      <c r="F822" s="17"/>
      <c r="G822" s="17"/>
    </row>
    <row r="823" spans="1:7" x14ac:dyDescent="0.25">
      <c r="A823" s="49"/>
      <c r="B823" s="32"/>
      <c r="C823" s="15"/>
      <c r="D823" s="32"/>
      <c r="E823" s="17"/>
      <c r="F823" s="17"/>
      <c r="G823" s="17"/>
    </row>
    <row r="824" spans="1:7" x14ac:dyDescent="0.25">
      <c r="A824" s="34"/>
      <c r="B824" s="32"/>
      <c r="C824" s="15"/>
      <c r="D824" s="32"/>
      <c r="E824" s="17"/>
      <c r="F824" s="17"/>
      <c r="G824" s="17"/>
    </row>
    <row r="825" spans="1:7" x14ac:dyDescent="0.25">
      <c r="A825" s="13"/>
      <c r="B825" s="14"/>
      <c r="C825" s="15"/>
      <c r="D825" s="14"/>
      <c r="E825" s="17"/>
      <c r="F825" s="17"/>
      <c r="G825" s="17"/>
    </row>
    <row r="826" spans="1:7" x14ac:dyDescent="0.25">
      <c r="A826" s="19"/>
      <c r="B826" s="14"/>
      <c r="C826" s="15"/>
      <c r="D826" s="14"/>
      <c r="E826" s="17"/>
      <c r="F826" s="17"/>
      <c r="G826" s="17"/>
    </row>
    <row r="827" spans="1:7" x14ac:dyDescent="0.25">
      <c r="A827" s="19"/>
      <c r="B827" s="14"/>
      <c r="C827" s="15"/>
      <c r="D827" s="14"/>
      <c r="E827" s="17"/>
      <c r="F827" s="17"/>
      <c r="G827" s="17"/>
    </row>
    <row r="828" spans="1:7" x14ac:dyDescent="0.25">
      <c r="A828" s="74"/>
      <c r="B828" s="14"/>
      <c r="C828" s="15"/>
      <c r="D828" s="16"/>
      <c r="E828" s="17"/>
      <c r="F828" s="17"/>
      <c r="G828" s="17"/>
    </row>
    <row r="829" spans="1:7" x14ac:dyDescent="0.25">
      <c r="A829" s="13"/>
      <c r="B829" s="14"/>
      <c r="C829" s="15"/>
      <c r="D829" s="16"/>
      <c r="E829" s="17"/>
      <c r="F829" s="17"/>
      <c r="G829" s="17"/>
    </row>
    <row r="830" spans="1:7" x14ac:dyDescent="0.25">
      <c r="A830" s="19"/>
      <c r="B830" s="14"/>
      <c r="C830" s="15"/>
      <c r="D830" s="14"/>
      <c r="E830" s="17"/>
      <c r="F830" s="17"/>
      <c r="G830" s="17"/>
    </row>
    <row r="831" spans="1:7" x14ac:dyDescent="0.25">
      <c r="A831" s="49"/>
      <c r="B831" s="14"/>
      <c r="C831" s="15"/>
      <c r="D831" s="14"/>
      <c r="E831" s="17"/>
      <c r="F831" s="17"/>
      <c r="G831" s="17"/>
    </row>
    <row r="832" spans="1:7" x14ac:dyDescent="0.25">
      <c r="A832" s="13"/>
      <c r="B832" s="14"/>
      <c r="C832" s="15"/>
      <c r="D832" s="16"/>
      <c r="E832" s="17"/>
      <c r="F832" s="17"/>
      <c r="G832" s="17"/>
    </row>
    <row r="833" spans="1:7" x14ac:dyDescent="0.25">
      <c r="A833" s="13"/>
      <c r="B833" s="14"/>
      <c r="C833" s="15"/>
      <c r="D833" s="16"/>
      <c r="E833" s="17"/>
      <c r="F833" s="17"/>
      <c r="G833" s="17"/>
    </row>
    <row r="834" spans="1:7" x14ac:dyDescent="0.25">
      <c r="A834" s="13"/>
      <c r="B834" s="14"/>
      <c r="C834" s="15"/>
      <c r="D834" s="16"/>
      <c r="E834" s="17"/>
      <c r="F834" s="17"/>
      <c r="G834" s="17"/>
    </row>
    <row r="835" spans="1:7" x14ac:dyDescent="0.25">
      <c r="A835" s="13"/>
      <c r="B835" s="14"/>
      <c r="C835" s="15"/>
      <c r="D835" s="16"/>
      <c r="E835" s="17"/>
      <c r="F835" s="17"/>
      <c r="G835" s="17"/>
    </row>
    <row r="836" spans="1:7" x14ac:dyDescent="0.25">
      <c r="A836" s="13"/>
      <c r="B836" s="14"/>
      <c r="C836" s="15"/>
      <c r="D836" s="16"/>
      <c r="E836" s="17"/>
      <c r="F836" s="17"/>
      <c r="G836" s="17"/>
    </row>
    <row r="837" spans="1:7" x14ac:dyDescent="0.25">
      <c r="A837" s="13"/>
      <c r="B837" s="14"/>
      <c r="C837" s="15"/>
      <c r="D837" s="16"/>
      <c r="E837" s="17"/>
      <c r="F837" s="17"/>
      <c r="G837" s="17"/>
    </row>
    <row r="838" spans="1:7" x14ac:dyDescent="0.25">
      <c r="A838" s="13"/>
      <c r="B838" s="14"/>
      <c r="C838" s="15"/>
      <c r="D838" s="32"/>
      <c r="E838" s="17"/>
      <c r="F838" s="17"/>
      <c r="G838" s="17"/>
    </row>
    <row r="839" spans="1:7" x14ac:dyDescent="0.25">
      <c r="A839" s="13"/>
      <c r="B839" s="14"/>
      <c r="C839" s="15"/>
      <c r="D839" s="16"/>
      <c r="E839" s="79"/>
      <c r="F839" s="17"/>
      <c r="G839" s="17"/>
    </row>
    <row r="840" spans="1:7" x14ac:dyDescent="0.25">
      <c r="A840" s="13"/>
      <c r="B840" s="14"/>
      <c r="C840" s="15"/>
      <c r="D840" s="16"/>
      <c r="E840" s="79"/>
      <c r="F840" s="17"/>
      <c r="G840" s="17"/>
    </row>
    <row r="841" spans="1:7" ht="32.25" customHeight="1" x14ac:dyDescent="0.25">
      <c r="A841" s="8"/>
      <c r="B841" s="9"/>
      <c r="C841" s="10"/>
      <c r="D841" s="11"/>
      <c r="E841" s="12"/>
      <c r="F841" s="12"/>
      <c r="G841" s="12"/>
    </row>
    <row r="842" spans="1:7" x14ac:dyDescent="0.25">
      <c r="A842" s="8"/>
      <c r="B842" s="9"/>
      <c r="C842" s="10"/>
      <c r="D842" s="11"/>
      <c r="E842" s="12"/>
      <c r="F842" s="12"/>
      <c r="G842" s="12"/>
    </row>
    <row r="843" spans="1:7" x14ac:dyDescent="0.25">
      <c r="A843" s="13"/>
      <c r="B843" s="14"/>
      <c r="C843" s="15"/>
      <c r="D843" s="16"/>
      <c r="E843" s="17"/>
      <c r="F843" s="17"/>
      <c r="G843" s="17"/>
    </row>
    <row r="844" spans="1:7" x14ac:dyDescent="0.25">
      <c r="A844" s="13"/>
      <c r="B844" s="14"/>
      <c r="C844" s="15"/>
      <c r="D844" s="16"/>
      <c r="E844" s="33"/>
      <c r="F844" s="33"/>
      <c r="G844" s="33"/>
    </row>
    <row r="845" spans="1:7" x14ac:dyDescent="0.25">
      <c r="A845" s="13"/>
      <c r="B845" s="14"/>
      <c r="C845" s="15"/>
      <c r="D845" s="16"/>
      <c r="E845" s="33"/>
      <c r="F845" s="33"/>
      <c r="G845" s="33"/>
    </row>
    <row r="846" spans="1:7" x14ac:dyDescent="0.25">
      <c r="A846" s="13"/>
      <c r="B846" s="14"/>
      <c r="C846" s="15"/>
      <c r="D846" s="16"/>
      <c r="E846" s="33"/>
      <c r="F846" s="33"/>
      <c r="G846" s="33"/>
    </row>
    <row r="847" spans="1:7" x14ac:dyDescent="0.25">
      <c r="A847" s="13"/>
      <c r="B847" s="14"/>
      <c r="C847" s="15"/>
      <c r="D847" s="16"/>
      <c r="E847" s="17"/>
      <c r="F847" s="17"/>
      <c r="G847" s="17"/>
    </row>
    <row r="848" spans="1:7" x14ac:dyDescent="0.25">
      <c r="A848" s="13"/>
      <c r="B848" s="14"/>
      <c r="C848" s="15"/>
      <c r="D848" s="16"/>
      <c r="E848" s="17"/>
      <c r="F848" s="17"/>
      <c r="G848" s="17"/>
    </row>
    <row r="849" spans="1:7" x14ac:dyDescent="0.25">
      <c r="A849" s="13"/>
      <c r="B849" s="14"/>
      <c r="C849" s="15"/>
      <c r="D849" s="16"/>
      <c r="E849" s="17"/>
      <c r="F849" s="17"/>
      <c r="G849" s="17"/>
    </row>
    <row r="850" spans="1:7" x14ac:dyDescent="0.25">
      <c r="A850" s="8"/>
      <c r="B850" s="9"/>
      <c r="C850" s="10"/>
      <c r="D850" s="11"/>
      <c r="E850" s="12"/>
      <c r="F850" s="12"/>
      <c r="G850" s="12"/>
    </row>
    <row r="851" spans="1:7" x14ac:dyDescent="0.25">
      <c r="A851" s="13"/>
      <c r="B851" s="14"/>
      <c r="C851" s="15"/>
      <c r="D851" s="16"/>
      <c r="E851" s="17"/>
      <c r="F851" s="17"/>
      <c r="G851" s="17"/>
    </row>
    <row r="852" spans="1:7" x14ac:dyDescent="0.25">
      <c r="A852" s="13"/>
      <c r="B852" s="14"/>
      <c r="C852" s="15"/>
      <c r="D852" s="16"/>
      <c r="E852" s="17"/>
      <c r="F852" s="17"/>
      <c r="G852" s="17"/>
    </row>
    <row r="853" spans="1:7" x14ac:dyDescent="0.25">
      <c r="A853" s="13"/>
      <c r="B853" s="14"/>
      <c r="C853" s="15"/>
      <c r="D853" s="16"/>
      <c r="E853" s="17"/>
      <c r="F853" s="17"/>
      <c r="G853" s="17"/>
    </row>
    <row r="854" spans="1:7" x14ac:dyDescent="0.25">
      <c r="A854" s="13"/>
      <c r="B854" s="14"/>
      <c r="C854" s="15"/>
      <c r="D854" s="16"/>
      <c r="E854" s="33"/>
      <c r="F854" s="33"/>
      <c r="G854" s="33"/>
    </row>
    <row r="855" spans="1:7" ht="59.25" customHeight="1" x14ac:dyDescent="0.25">
      <c r="A855" s="19"/>
      <c r="B855" s="14"/>
      <c r="C855" s="15"/>
      <c r="D855" s="16"/>
      <c r="E855" s="33"/>
      <c r="F855" s="33"/>
      <c r="G855" s="33"/>
    </row>
    <row r="856" spans="1:7" x14ac:dyDescent="0.25">
      <c r="A856" s="13"/>
      <c r="B856" s="14"/>
      <c r="C856" s="15"/>
      <c r="D856" s="16"/>
      <c r="E856" s="33"/>
      <c r="F856" s="33"/>
      <c r="G856" s="33"/>
    </row>
    <row r="857" spans="1:7" x14ac:dyDescent="0.25">
      <c r="A857" s="13"/>
      <c r="B857" s="14"/>
      <c r="C857" s="15"/>
      <c r="D857" s="16"/>
      <c r="E857" s="33"/>
      <c r="F857" s="33"/>
      <c r="G857" s="33"/>
    </row>
    <row r="858" spans="1:7" x14ac:dyDescent="0.25">
      <c r="A858" s="13"/>
      <c r="B858" s="14"/>
      <c r="C858" s="15"/>
      <c r="D858" s="16"/>
      <c r="E858" s="33"/>
      <c r="F858" s="33"/>
      <c r="G858" s="33"/>
    </row>
    <row r="859" spans="1:7" x14ac:dyDescent="0.25">
      <c r="A859" s="34"/>
      <c r="B859" s="14"/>
      <c r="C859" s="15"/>
      <c r="D859" s="16"/>
      <c r="E859" s="33"/>
      <c r="F859" s="33"/>
      <c r="G859" s="33"/>
    </row>
    <row r="860" spans="1:7" x14ac:dyDescent="0.25">
      <c r="A860" s="13"/>
      <c r="B860" s="14"/>
      <c r="C860" s="15"/>
      <c r="D860" s="35"/>
      <c r="E860" s="33"/>
      <c r="F860" s="33"/>
      <c r="G860" s="33"/>
    </row>
    <row r="861" spans="1:7" x14ac:dyDescent="0.25">
      <c r="A861" s="34"/>
      <c r="B861" s="14"/>
      <c r="C861" s="15"/>
      <c r="D861" s="35"/>
      <c r="E861" s="17"/>
      <c r="F861" s="17"/>
      <c r="G861" s="17"/>
    </row>
    <row r="862" spans="1:7" x14ac:dyDescent="0.25">
      <c r="A862" s="13"/>
      <c r="B862" s="14"/>
      <c r="C862" s="15"/>
      <c r="D862" s="35"/>
      <c r="E862" s="79"/>
      <c r="F862" s="79"/>
      <c r="G862" s="79"/>
    </row>
    <row r="863" spans="1:7" x14ac:dyDescent="0.25">
      <c r="A863" s="13"/>
      <c r="B863" s="14"/>
      <c r="C863" s="15"/>
      <c r="D863" s="35"/>
      <c r="E863" s="17"/>
      <c r="F863" s="17"/>
      <c r="G863" s="17"/>
    </row>
    <row r="864" spans="1:7" x14ac:dyDescent="0.25">
      <c r="A864" s="13"/>
      <c r="B864" s="14"/>
      <c r="C864" s="15"/>
      <c r="D864" s="16"/>
      <c r="E864" s="33"/>
      <c r="F864" s="33"/>
      <c r="G864" s="33"/>
    </row>
    <row r="865" spans="1:7" x14ac:dyDescent="0.25">
      <c r="A865" s="13"/>
      <c r="B865" s="14"/>
      <c r="C865" s="15"/>
      <c r="D865" s="16"/>
      <c r="E865" s="17"/>
      <c r="F865" s="17"/>
      <c r="G865" s="17"/>
    </row>
    <row r="866" spans="1:7" x14ac:dyDescent="0.25">
      <c r="A866" s="80"/>
      <c r="B866" s="39"/>
      <c r="C866" s="39"/>
      <c r="D866" s="40"/>
      <c r="E866" s="12"/>
      <c r="F866" s="12"/>
      <c r="G866" s="12"/>
    </row>
    <row r="867" spans="1:7" x14ac:dyDescent="0.25">
      <c r="A867" s="38"/>
      <c r="B867" s="39"/>
      <c r="C867" s="39"/>
      <c r="D867" s="40"/>
      <c r="E867" s="12"/>
      <c r="F867" s="12"/>
      <c r="G867" s="12"/>
    </row>
    <row r="868" spans="1:7" x14ac:dyDescent="0.25">
      <c r="A868" s="49"/>
      <c r="B868" s="32"/>
      <c r="C868" s="32"/>
      <c r="D868" s="35"/>
      <c r="E868" s="17"/>
      <c r="F868" s="17"/>
      <c r="G868" s="17"/>
    </row>
    <row r="869" spans="1:7" x14ac:dyDescent="0.25">
      <c r="A869" s="34"/>
      <c r="B869" s="32"/>
      <c r="C869" s="32"/>
      <c r="D869" s="35"/>
      <c r="E869" s="17"/>
      <c r="F869" s="17"/>
      <c r="G869" s="17"/>
    </row>
    <row r="870" spans="1:7" x14ac:dyDescent="0.25">
      <c r="A870" s="34"/>
      <c r="B870" s="32"/>
      <c r="C870" s="32"/>
      <c r="D870" s="35"/>
      <c r="E870" s="17"/>
      <c r="F870" s="17"/>
      <c r="G870" s="17"/>
    </row>
    <row r="871" spans="1:7" x14ac:dyDescent="0.25">
      <c r="A871" s="8"/>
      <c r="B871" s="9"/>
      <c r="C871" s="10"/>
      <c r="D871" s="11"/>
      <c r="E871" s="12"/>
      <c r="F871" s="12"/>
      <c r="G871" s="12"/>
    </row>
    <row r="872" spans="1:7" x14ac:dyDescent="0.25">
      <c r="A872" s="8"/>
      <c r="B872" s="9"/>
      <c r="C872" s="10"/>
      <c r="D872" s="11"/>
      <c r="E872" s="12"/>
      <c r="F872" s="12"/>
      <c r="G872" s="12"/>
    </row>
    <row r="873" spans="1:7" x14ac:dyDescent="0.25">
      <c r="A873" s="13"/>
      <c r="B873" s="14"/>
      <c r="C873" s="15"/>
      <c r="D873" s="16"/>
      <c r="E873" s="17"/>
      <c r="F873" s="17"/>
      <c r="G873" s="17"/>
    </row>
    <row r="874" spans="1:7" x14ac:dyDescent="0.25">
      <c r="A874" s="13"/>
      <c r="B874" s="14"/>
      <c r="C874" s="15"/>
      <c r="D874" s="16"/>
      <c r="E874" s="17"/>
      <c r="F874" s="17"/>
      <c r="G874" s="17"/>
    </row>
    <row r="875" spans="1:7" x14ac:dyDescent="0.25">
      <c r="A875" s="13"/>
      <c r="B875" s="14"/>
      <c r="C875" s="15"/>
      <c r="D875" s="16"/>
      <c r="E875" s="17"/>
      <c r="F875" s="17"/>
      <c r="G875" s="17"/>
    </row>
    <row r="876" spans="1:7" x14ac:dyDescent="0.25">
      <c r="A876" s="31"/>
      <c r="B876" s="32"/>
      <c r="C876" s="32"/>
      <c r="D876" s="35"/>
      <c r="E876" s="17"/>
      <c r="F876" s="17"/>
      <c r="G876" s="17"/>
    </row>
    <row r="877" spans="1:7" x14ac:dyDescent="0.25">
      <c r="A877" s="8"/>
      <c r="B877" s="32"/>
      <c r="C877" s="32"/>
      <c r="D877" s="35"/>
      <c r="E877" s="17"/>
      <c r="F877" s="12"/>
      <c r="G877" s="12"/>
    </row>
    <row r="878" spans="1:7" x14ac:dyDescent="0.25">
      <c r="A878" s="8"/>
      <c r="B878" s="32"/>
      <c r="C878" s="32"/>
      <c r="D878" s="35"/>
      <c r="E878" s="17"/>
      <c r="F878" s="17"/>
      <c r="G878" s="17"/>
    </row>
    <row r="879" spans="1:7" x14ac:dyDescent="0.25">
      <c r="A879" s="85"/>
      <c r="B879" s="32"/>
      <c r="C879" s="32"/>
      <c r="D879" s="35"/>
      <c r="E879" s="12"/>
      <c r="F879" s="12"/>
      <c r="G879" s="12"/>
    </row>
    <row r="880" spans="1:7" x14ac:dyDescent="0.25">
      <c r="A880" s="13"/>
      <c r="B880" s="32"/>
      <c r="C880" s="32"/>
      <c r="D880" s="22"/>
      <c r="E880" s="86"/>
      <c r="F880" s="86"/>
      <c r="G880" s="17"/>
    </row>
    <row r="881" spans="1:7" x14ac:dyDescent="0.25">
      <c r="A881" s="13"/>
      <c r="B881" s="32"/>
      <c r="C881" s="32"/>
      <c r="D881" s="22"/>
      <c r="E881" s="86"/>
      <c r="F881" s="86"/>
      <c r="G881" s="17"/>
    </row>
    <row r="882" spans="1:7" x14ac:dyDescent="0.25">
      <c r="A882" s="13"/>
      <c r="B882" s="32"/>
      <c r="C882" s="32"/>
      <c r="D882" s="22"/>
      <c r="E882" s="86"/>
      <c r="F882" s="86"/>
      <c r="G882" s="86"/>
    </row>
    <row r="883" spans="1:7" x14ac:dyDescent="0.25">
      <c r="A883" s="13"/>
      <c r="B883" s="32"/>
      <c r="C883" s="32"/>
      <c r="D883" s="22"/>
      <c r="E883" s="86"/>
      <c r="F883" s="86"/>
      <c r="G883" s="17"/>
    </row>
    <row r="884" spans="1:7" x14ac:dyDescent="0.25">
      <c r="A884" s="13"/>
      <c r="B884" s="32"/>
      <c r="C884" s="32"/>
      <c r="D884" s="22"/>
      <c r="E884" s="86"/>
      <c r="F884" s="86"/>
      <c r="G884" s="17"/>
    </row>
    <row r="885" spans="1:7" x14ac:dyDescent="0.25">
      <c r="A885" s="13"/>
      <c r="B885" s="32"/>
      <c r="C885" s="32"/>
      <c r="D885" s="22"/>
      <c r="E885" s="86"/>
      <c r="F885" s="86"/>
      <c r="G885" s="17"/>
    </row>
    <row r="886" spans="1:7" x14ac:dyDescent="0.25">
      <c r="A886" s="13"/>
      <c r="B886" s="32"/>
      <c r="C886" s="32"/>
      <c r="D886" s="22"/>
      <c r="E886" s="86"/>
      <c r="F886" s="86"/>
      <c r="G886" s="17"/>
    </row>
    <row r="887" spans="1:7" x14ac:dyDescent="0.25">
      <c r="A887" s="52"/>
      <c r="B887" s="32"/>
      <c r="C887" s="32"/>
      <c r="D887" s="22"/>
      <c r="E887" s="86"/>
      <c r="F887" s="86"/>
      <c r="G887" s="17"/>
    </row>
    <row r="888" spans="1:7" x14ac:dyDescent="0.25">
      <c r="A888" s="13"/>
      <c r="B888" s="32"/>
      <c r="C888" s="32"/>
      <c r="D888" s="22"/>
      <c r="E888" s="86"/>
      <c r="F888" s="86"/>
      <c r="G888" s="17"/>
    </row>
    <row r="889" spans="1:7" x14ac:dyDescent="0.25">
      <c r="A889" s="13"/>
      <c r="B889" s="32"/>
      <c r="C889" s="32"/>
      <c r="D889" s="22"/>
      <c r="E889" s="86"/>
      <c r="F889" s="86"/>
      <c r="G889" s="17"/>
    </row>
    <row r="890" spans="1:7" x14ac:dyDescent="0.25">
      <c r="A890" s="13"/>
      <c r="B890" s="32"/>
      <c r="C890" s="32"/>
      <c r="D890" s="35"/>
      <c r="E890" s="17"/>
      <c r="F890" s="17"/>
      <c r="G890" s="17"/>
    </row>
    <row r="891" spans="1:7" x14ac:dyDescent="0.25">
      <c r="A891" s="87"/>
      <c r="B891" s="88"/>
      <c r="C891" s="88"/>
      <c r="D891" s="89"/>
      <c r="E891" s="90"/>
      <c r="F891" s="90"/>
      <c r="G891" s="90"/>
    </row>
    <row r="892" spans="1:7" x14ac:dyDescent="0.25">
      <c r="A892" s="31"/>
      <c r="B892" s="32"/>
      <c r="C892" s="32"/>
      <c r="D892" s="35"/>
      <c r="E892" s="33"/>
      <c r="F892" s="33"/>
      <c r="G892" s="33"/>
    </row>
    <row r="893" spans="1:7" x14ac:dyDescent="0.25">
      <c r="A893" s="31"/>
      <c r="B893" s="32"/>
      <c r="C893" s="32"/>
      <c r="D893" s="35"/>
      <c r="E893" s="33"/>
      <c r="F893" s="33"/>
      <c r="G893" s="33"/>
    </row>
    <row r="894" spans="1:7" x14ac:dyDescent="0.25">
      <c r="A894" s="13"/>
      <c r="B894" s="32"/>
      <c r="C894" s="32"/>
      <c r="D894" s="35"/>
      <c r="E894" s="33"/>
      <c r="F894" s="90"/>
      <c r="G894" s="90"/>
    </row>
    <row r="895" spans="1:7" x14ac:dyDescent="0.25">
      <c r="A895" s="31"/>
      <c r="B895" s="32"/>
      <c r="C895" s="32"/>
      <c r="D895" s="35"/>
      <c r="E895" s="17"/>
      <c r="F895" s="17"/>
      <c r="G895" s="17"/>
    </row>
    <row r="896" spans="1:7" x14ac:dyDescent="0.25">
      <c r="A896" s="31"/>
      <c r="B896" s="32"/>
      <c r="C896" s="32"/>
      <c r="D896" s="35"/>
      <c r="E896" s="17"/>
      <c r="F896" s="17"/>
      <c r="G896" s="17"/>
    </row>
    <row r="897" spans="1:7" x14ac:dyDescent="0.25">
      <c r="A897" s="31"/>
      <c r="B897" s="32"/>
      <c r="C897" s="32"/>
      <c r="D897" s="35"/>
      <c r="E897" s="17"/>
      <c r="F897" s="17"/>
      <c r="G897" s="17"/>
    </row>
    <row r="898" spans="1:7" x14ac:dyDescent="0.25">
      <c r="A898" s="42"/>
      <c r="B898" s="32"/>
      <c r="C898" s="32"/>
      <c r="D898" s="35"/>
      <c r="E898" s="17"/>
      <c r="F898" s="17"/>
      <c r="G898" s="17"/>
    </row>
    <row r="899" spans="1:7" x14ac:dyDescent="0.25">
      <c r="A899" s="34"/>
      <c r="B899" s="32"/>
      <c r="C899" s="32"/>
      <c r="D899" s="35"/>
      <c r="E899" s="17"/>
      <c r="F899" s="17"/>
      <c r="G899" s="17"/>
    </row>
    <row r="900" spans="1:7" x14ac:dyDescent="0.25">
      <c r="A900" s="13"/>
      <c r="B900" s="14"/>
      <c r="C900" s="15"/>
      <c r="D900" s="16"/>
      <c r="E900" s="79"/>
      <c r="F900" s="79"/>
      <c r="G900" s="79"/>
    </row>
    <row r="901" spans="1:7" x14ac:dyDescent="0.25">
      <c r="A901" s="13"/>
      <c r="B901" s="14"/>
      <c r="C901" s="15"/>
      <c r="D901" s="16"/>
      <c r="E901" s="17"/>
      <c r="F901" s="17"/>
      <c r="G901" s="17"/>
    </row>
    <row r="902" spans="1:7" x14ac:dyDescent="0.25">
      <c r="A902" s="13"/>
      <c r="B902" s="14"/>
      <c r="C902" s="15"/>
      <c r="D902" s="16"/>
      <c r="E902" s="17"/>
      <c r="F902" s="17"/>
      <c r="G902" s="17"/>
    </row>
    <row r="903" spans="1:7" x14ac:dyDescent="0.25">
      <c r="A903" s="20"/>
      <c r="B903" s="14"/>
      <c r="C903" s="15"/>
      <c r="D903" s="16"/>
      <c r="E903" s="17"/>
      <c r="F903" s="17"/>
      <c r="G903" s="17"/>
    </row>
    <row r="904" spans="1:7" x14ac:dyDescent="0.25">
      <c r="A904" s="13"/>
      <c r="B904" s="14"/>
      <c r="C904" s="15"/>
      <c r="D904" s="16"/>
      <c r="E904" s="17"/>
      <c r="F904" s="17"/>
      <c r="G904" s="17"/>
    </row>
    <row r="905" spans="1:7" x14ac:dyDescent="0.25">
      <c r="A905" s="13"/>
      <c r="B905" s="14"/>
      <c r="C905" s="15"/>
      <c r="D905" s="16"/>
      <c r="E905" s="17"/>
      <c r="F905" s="17"/>
      <c r="G905" s="17"/>
    </row>
    <row r="906" spans="1:7" x14ac:dyDescent="0.25">
      <c r="A906" s="13"/>
      <c r="B906" s="14"/>
      <c r="C906" s="15"/>
      <c r="D906" s="16"/>
      <c r="E906" s="17"/>
      <c r="F906" s="17"/>
      <c r="G906" s="17"/>
    </row>
    <row r="907" spans="1:7" x14ac:dyDescent="0.25">
      <c r="A907" s="19"/>
      <c r="B907" s="14"/>
      <c r="C907" s="15"/>
      <c r="D907" s="16"/>
      <c r="E907" s="17"/>
      <c r="F907" s="17"/>
      <c r="G907" s="17"/>
    </row>
    <row r="908" spans="1:7" x14ac:dyDescent="0.25">
      <c r="A908" s="31"/>
      <c r="B908" s="32"/>
      <c r="C908" s="32"/>
      <c r="D908" s="35"/>
      <c r="E908" s="17"/>
      <c r="F908" s="17"/>
      <c r="G908" s="17"/>
    </row>
    <row r="909" spans="1:7" x14ac:dyDescent="0.25">
      <c r="A909" s="31"/>
      <c r="B909" s="32"/>
      <c r="C909" s="32"/>
      <c r="D909" s="35"/>
      <c r="E909" s="17"/>
      <c r="F909" s="17"/>
      <c r="G909" s="17"/>
    </row>
    <row r="910" spans="1:7" x14ac:dyDescent="0.25">
      <c r="A910" s="34"/>
      <c r="B910" s="32"/>
      <c r="C910" s="32"/>
      <c r="D910" s="35"/>
      <c r="E910" s="17"/>
      <c r="F910" s="17"/>
      <c r="G910" s="17"/>
    </row>
    <row r="911" spans="1:7" x14ac:dyDescent="0.25">
      <c r="A911" s="34"/>
      <c r="B911" s="32"/>
      <c r="C911" s="32"/>
      <c r="D911" s="35"/>
      <c r="E911" s="17"/>
      <c r="F911" s="17"/>
      <c r="G911" s="17"/>
    </row>
    <row r="912" spans="1:7" x14ac:dyDescent="0.25">
      <c r="A912" s="13"/>
      <c r="B912" s="32"/>
      <c r="C912" s="32"/>
      <c r="D912" s="35"/>
      <c r="E912" s="17"/>
      <c r="F912" s="17"/>
      <c r="G912" s="17"/>
    </row>
    <row r="913" spans="1:7" x14ac:dyDescent="0.25">
      <c r="A913" s="19"/>
      <c r="B913" s="32"/>
      <c r="C913" s="32"/>
      <c r="D913" s="35"/>
      <c r="E913" s="17"/>
      <c r="F913" s="17"/>
      <c r="G913" s="17"/>
    </row>
    <row r="914" spans="1:7" x14ac:dyDescent="0.25">
      <c r="A914" s="85"/>
      <c r="B914" s="9"/>
      <c r="C914" s="10"/>
      <c r="D914" s="11"/>
      <c r="E914" s="91"/>
      <c r="F914" s="91"/>
      <c r="G914" s="91"/>
    </row>
    <row r="915" spans="1:7" x14ac:dyDescent="0.25">
      <c r="A915" s="85"/>
      <c r="B915" s="9"/>
      <c r="C915" s="10"/>
      <c r="D915" s="11"/>
      <c r="E915" s="91"/>
      <c r="F915" s="91"/>
      <c r="G915" s="91"/>
    </row>
    <row r="916" spans="1:7" x14ac:dyDescent="0.25">
      <c r="A916" s="13"/>
      <c r="B916" s="14"/>
      <c r="C916" s="15"/>
      <c r="D916" s="16"/>
      <c r="E916" s="94"/>
      <c r="F916" s="94"/>
      <c r="G916" s="94"/>
    </row>
    <row r="917" spans="1:7" x14ac:dyDescent="0.25">
      <c r="A917" s="13"/>
      <c r="B917" s="14"/>
      <c r="C917" s="15"/>
      <c r="D917" s="16"/>
      <c r="E917" s="94"/>
      <c r="F917" s="94"/>
      <c r="G917" s="94"/>
    </row>
    <row r="918" spans="1:7" x14ac:dyDescent="0.25">
      <c r="A918" s="13"/>
      <c r="B918" s="14"/>
      <c r="C918" s="15"/>
      <c r="D918" s="16"/>
      <c r="E918" s="94"/>
      <c r="F918" s="94"/>
      <c r="G918" s="94"/>
    </row>
    <row r="919" spans="1:7" ht="27.95" customHeight="1" x14ac:dyDescent="0.25">
      <c r="A919" s="13"/>
      <c r="B919" s="14"/>
      <c r="C919" s="15"/>
      <c r="D919" s="16"/>
      <c r="E919" s="94"/>
      <c r="F919" s="94"/>
      <c r="G919" s="94"/>
    </row>
    <row r="920" spans="1:7" x14ac:dyDescent="0.25">
      <c r="A920" s="65"/>
      <c r="B920" s="14"/>
      <c r="C920" s="15"/>
      <c r="D920" s="16"/>
      <c r="E920" s="94"/>
      <c r="F920" s="94"/>
      <c r="G920" s="94"/>
    </row>
    <row r="921" spans="1:7" x14ac:dyDescent="0.25">
      <c r="A921" s="65"/>
      <c r="B921" s="14"/>
      <c r="C921" s="15"/>
      <c r="D921" s="16"/>
      <c r="E921" s="94"/>
      <c r="F921" s="94"/>
      <c r="G921" s="94"/>
    </row>
    <row r="922" spans="1:7" x14ac:dyDescent="0.25">
      <c r="A922" s="65"/>
      <c r="B922" s="14"/>
      <c r="C922" s="15"/>
      <c r="D922" s="16"/>
      <c r="E922" s="94"/>
      <c r="F922" s="94"/>
      <c r="G922" s="94"/>
    </row>
    <row r="923" spans="1:7" x14ac:dyDescent="0.25">
      <c r="A923" s="52"/>
      <c r="B923" s="14"/>
      <c r="C923" s="15"/>
      <c r="D923" s="16"/>
      <c r="E923" s="17"/>
      <c r="F923" s="17"/>
      <c r="G923" s="17"/>
    </row>
    <row r="924" spans="1:7" x14ac:dyDescent="0.25">
      <c r="A924" s="13"/>
      <c r="B924" s="14"/>
      <c r="C924" s="15"/>
      <c r="D924" s="16"/>
      <c r="E924" s="17"/>
      <c r="F924" s="17"/>
      <c r="G924" s="17"/>
    </row>
    <row r="925" spans="1:7" x14ac:dyDescent="0.25">
      <c r="A925" s="13"/>
      <c r="B925" s="14"/>
      <c r="C925" s="15"/>
      <c r="D925" s="16"/>
      <c r="E925" s="17"/>
      <c r="F925" s="17"/>
      <c r="G925" s="17"/>
    </row>
    <row r="926" spans="1:7" x14ac:dyDescent="0.25">
      <c r="A926" s="13"/>
      <c r="B926" s="14"/>
      <c r="C926" s="15"/>
      <c r="D926" s="16"/>
      <c r="E926" s="17"/>
      <c r="F926" s="17"/>
      <c r="G926" s="17"/>
    </row>
    <row r="927" spans="1:7" x14ac:dyDescent="0.25">
      <c r="A927" s="13"/>
      <c r="B927" s="14"/>
      <c r="C927" s="15"/>
      <c r="D927" s="14"/>
      <c r="E927" s="17"/>
      <c r="F927" s="17"/>
      <c r="G927" s="17"/>
    </row>
    <row r="928" spans="1:7" x14ac:dyDescent="0.25">
      <c r="A928" s="13"/>
      <c r="B928" s="14"/>
      <c r="C928" s="15"/>
      <c r="D928" s="16"/>
      <c r="E928" s="17"/>
      <c r="F928" s="17"/>
      <c r="G928" s="17"/>
    </row>
    <row r="929" spans="1:7" x14ac:dyDescent="0.25">
      <c r="A929" s="13"/>
      <c r="B929" s="14"/>
      <c r="C929" s="15"/>
      <c r="D929" s="16"/>
      <c r="E929" s="17"/>
      <c r="F929" s="17"/>
      <c r="G929" s="17"/>
    </row>
    <row r="930" spans="1:7" ht="28.5" customHeight="1" x14ac:dyDescent="0.25">
      <c r="A930" s="13"/>
      <c r="B930" s="14"/>
      <c r="C930" s="15"/>
      <c r="D930" s="16"/>
      <c r="E930" s="17"/>
      <c r="F930" s="17"/>
      <c r="G930" s="17"/>
    </row>
    <row r="931" spans="1:7" x14ac:dyDescent="0.25">
      <c r="A931" s="46"/>
      <c r="B931" s="15"/>
      <c r="C931" s="15"/>
      <c r="D931" s="15"/>
      <c r="E931" s="17"/>
      <c r="F931" s="17"/>
      <c r="G931" s="17"/>
    </row>
    <row r="932" spans="1:7" x14ac:dyDescent="0.25">
      <c r="A932" s="92"/>
      <c r="B932" s="61"/>
      <c r="C932" s="62"/>
      <c r="D932" s="61"/>
      <c r="E932" s="93"/>
      <c r="F932" s="93"/>
      <c r="G932" s="93"/>
    </row>
    <row r="933" spans="1:7" x14ac:dyDescent="0.25">
      <c r="A933" s="52"/>
      <c r="B933" s="61"/>
      <c r="C933" s="62"/>
      <c r="D933" s="61"/>
      <c r="E933" s="17"/>
      <c r="F933" s="17"/>
      <c r="G933" s="17"/>
    </row>
    <row r="934" spans="1:7" x14ac:dyDescent="0.25">
      <c r="A934" s="85"/>
      <c r="B934" s="10"/>
      <c r="C934" s="10"/>
      <c r="D934" s="27"/>
      <c r="E934" s="152"/>
      <c r="F934" s="152"/>
      <c r="G934" s="152"/>
    </row>
    <row r="935" spans="1:7" x14ac:dyDescent="0.25">
      <c r="A935" s="13"/>
      <c r="B935" s="15"/>
      <c r="C935" s="15"/>
      <c r="D935" s="16"/>
      <c r="E935" s="93"/>
      <c r="F935" s="93"/>
      <c r="G935" s="93"/>
    </row>
    <row r="936" spans="1:7" x14ac:dyDescent="0.25">
      <c r="A936" s="13"/>
      <c r="B936" s="15"/>
      <c r="C936" s="15"/>
      <c r="D936" s="16"/>
      <c r="E936" s="93"/>
      <c r="F936" s="93"/>
      <c r="G936" s="93"/>
    </row>
    <row r="937" spans="1:7" x14ac:dyDescent="0.25">
      <c r="A937" s="13"/>
      <c r="B937" s="15"/>
      <c r="C937" s="15"/>
      <c r="D937" s="16"/>
      <c r="E937" s="93"/>
      <c r="F937" s="93"/>
      <c r="G937" s="93"/>
    </row>
    <row r="938" spans="1:7" ht="16.5" customHeight="1" x14ac:dyDescent="0.25">
      <c r="A938" s="52"/>
      <c r="B938" s="14"/>
      <c r="C938" s="15"/>
      <c r="D938" s="16"/>
      <c r="E938" s="94"/>
      <c r="F938" s="94"/>
      <c r="G938" s="94"/>
    </row>
    <row r="939" spans="1:7" x14ac:dyDescent="0.25">
      <c r="A939" s="65"/>
      <c r="B939" s="14"/>
      <c r="C939" s="15"/>
      <c r="D939" s="16"/>
      <c r="E939" s="94"/>
      <c r="F939" s="94"/>
      <c r="G939" s="94"/>
    </row>
    <row r="940" spans="1:7" x14ac:dyDescent="0.25">
      <c r="A940" s="65"/>
      <c r="B940" s="14"/>
      <c r="C940" s="15"/>
      <c r="D940" s="16"/>
      <c r="E940" s="94"/>
      <c r="F940" s="94"/>
      <c r="G940" s="94"/>
    </row>
    <row r="941" spans="1:7" x14ac:dyDescent="0.25">
      <c r="A941" s="42"/>
      <c r="B941" s="14"/>
      <c r="C941" s="15"/>
      <c r="D941" s="16"/>
      <c r="E941" s="94"/>
      <c r="F941" s="94"/>
      <c r="G941" s="94"/>
    </row>
    <row r="942" spans="1:7" x14ac:dyDescent="0.25">
      <c r="A942" s="46"/>
      <c r="B942" s="14"/>
      <c r="C942" s="15"/>
      <c r="D942" s="16"/>
      <c r="E942" s="94"/>
      <c r="F942" s="94"/>
      <c r="G942" s="94"/>
    </row>
    <row r="943" spans="1:7" ht="31.7" customHeight="1" x14ac:dyDescent="0.25">
      <c r="A943" s="95"/>
      <c r="B943" s="14"/>
      <c r="C943" s="15"/>
      <c r="D943" s="16"/>
      <c r="E943" s="94"/>
      <c r="F943" s="94"/>
      <c r="G943" s="94"/>
    </row>
    <row r="944" spans="1:7" x14ac:dyDescent="0.25">
      <c r="A944" s="20"/>
      <c r="B944" s="14"/>
      <c r="C944" s="15"/>
      <c r="D944" s="16"/>
      <c r="E944" s="94"/>
      <c r="F944" s="94"/>
      <c r="G944" s="94"/>
    </row>
    <row r="945" spans="1:7" x14ac:dyDescent="0.25">
      <c r="A945" s="13"/>
      <c r="B945" s="14"/>
      <c r="C945" s="15"/>
      <c r="D945" s="16"/>
      <c r="E945" s="94"/>
      <c r="F945" s="94"/>
      <c r="G945" s="94"/>
    </row>
    <row r="946" spans="1:7" x14ac:dyDescent="0.25">
      <c r="A946" s="96"/>
      <c r="B946" s="15"/>
      <c r="C946" s="67"/>
      <c r="D946" s="97"/>
      <c r="E946" s="94"/>
      <c r="F946" s="94"/>
      <c r="G946" s="94"/>
    </row>
    <row r="947" spans="1:7" x14ac:dyDescent="0.25">
      <c r="A947" s="52"/>
      <c r="B947" s="15"/>
      <c r="C947" s="67"/>
      <c r="D947" s="68"/>
      <c r="E947" s="17"/>
      <c r="F947" s="17"/>
      <c r="G947" s="17"/>
    </row>
    <row r="948" spans="1:7" x14ac:dyDescent="0.25">
      <c r="A948" s="96"/>
      <c r="B948" s="15"/>
      <c r="C948" s="67"/>
      <c r="D948" s="97"/>
      <c r="E948" s="94"/>
      <c r="F948" s="94"/>
      <c r="G948" s="94"/>
    </row>
    <row r="949" spans="1:7" x14ac:dyDescent="0.25">
      <c r="A949" s="52"/>
      <c r="B949" s="15"/>
      <c r="C949" s="67"/>
      <c r="D949" s="68"/>
      <c r="E949" s="17"/>
      <c r="F949" s="17"/>
      <c r="G949" s="17"/>
    </row>
    <row r="950" spans="1:7" x14ac:dyDescent="0.25">
      <c r="A950" s="95"/>
      <c r="B950" s="14"/>
      <c r="C950" s="15"/>
      <c r="D950" s="16"/>
      <c r="E950" s="94"/>
      <c r="F950" s="94"/>
      <c r="G950" s="94"/>
    </row>
    <row r="951" spans="1:7" x14ac:dyDescent="0.25">
      <c r="A951" s="52"/>
      <c r="B951" s="15"/>
      <c r="C951" s="15"/>
      <c r="D951" s="23"/>
      <c r="E951" s="17"/>
      <c r="F951" s="17"/>
      <c r="G951" s="17"/>
    </row>
    <row r="952" spans="1:7" x14ac:dyDescent="0.25">
      <c r="A952" s="96"/>
      <c r="B952" s="15"/>
      <c r="C952" s="47"/>
      <c r="D952" s="98"/>
      <c r="E952" s="93"/>
      <c r="F952" s="93"/>
      <c r="G952" s="93"/>
    </row>
    <row r="953" spans="1:7" x14ac:dyDescent="0.25">
      <c r="A953" s="52"/>
      <c r="B953" s="15"/>
      <c r="C953" s="47"/>
      <c r="D953" s="30"/>
      <c r="E953" s="17"/>
      <c r="F953" s="17"/>
      <c r="G953" s="17"/>
    </row>
    <row r="954" spans="1:7" x14ac:dyDescent="0.25">
      <c r="A954" s="13"/>
      <c r="B954" s="15"/>
      <c r="C954" s="32"/>
      <c r="D954" s="22"/>
      <c r="E954" s="86"/>
      <c r="F954" s="86"/>
      <c r="G954" s="86"/>
    </row>
    <row r="955" spans="1:7" x14ac:dyDescent="0.25">
      <c r="A955" s="13"/>
      <c r="B955" s="15"/>
      <c r="C955" s="32"/>
      <c r="D955" s="22"/>
      <c r="E955" s="86"/>
      <c r="F955" s="86"/>
      <c r="G955" s="86"/>
    </row>
    <row r="956" spans="1:7" x14ac:dyDescent="0.25">
      <c r="A956" s="13"/>
      <c r="B956" s="14"/>
      <c r="C956" s="15"/>
      <c r="D956" s="16"/>
      <c r="E956" s="86"/>
      <c r="F956" s="86"/>
      <c r="G956" s="86"/>
    </row>
    <row r="957" spans="1:7" x14ac:dyDescent="0.25">
      <c r="A957" s="13"/>
      <c r="B957" s="14"/>
      <c r="C957" s="15"/>
      <c r="D957" s="16"/>
      <c r="E957" s="86"/>
      <c r="F957" s="86"/>
      <c r="G957" s="86"/>
    </row>
    <row r="958" spans="1:7" x14ac:dyDescent="0.25">
      <c r="A958" s="59"/>
      <c r="B958" s="15"/>
      <c r="C958" s="67"/>
      <c r="D958" s="68"/>
      <c r="E958" s="86"/>
      <c r="F958" s="86"/>
      <c r="G958" s="86"/>
    </row>
    <row r="959" spans="1:7" x14ac:dyDescent="0.25">
      <c r="A959" s="59"/>
      <c r="B959" s="15"/>
      <c r="C959" s="67"/>
      <c r="D959" s="68"/>
      <c r="E959" s="86"/>
      <c r="F959" s="86"/>
      <c r="G959" s="86"/>
    </row>
    <row r="960" spans="1:7" x14ac:dyDescent="0.25">
      <c r="A960" s="59"/>
      <c r="B960" s="15"/>
      <c r="C960" s="67"/>
      <c r="D960" s="68"/>
      <c r="E960" s="86"/>
      <c r="F960" s="86"/>
      <c r="G960" s="86"/>
    </row>
    <row r="961" spans="1:7" x14ac:dyDescent="0.25">
      <c r="A961" s="59"/>
      <c r="B961" s="15"/>
      <c r="C961" s="67"/>
      <c r="D961" s="68"/>
      <c r="E961" s="86"/>
      <c r="F961" s="86"/>
      <c r="G961" s="86"/>
    </row>
    <row r="962" spans="1:7" x14ac:dyDescent="0.25">
      <c r="A962" s="108"/>
      <c r="B962" s="15"/>
      <c r="C962" s="67"/>
      <c r="D962" s="68"/>
      <c r="E962" s="100"/>
      <c r="F962" s="100"/>
      <c r="G962" s="100"/>
    </row>
    <row r="963" spans="1:7" x14ac:dyDescent="0.25">
      <c r="A963" s="59"/>
      <c r="B963" s="15"/>
      <c r="C963" s="67"/>
      <c r="D963" s="68"/>
      <c r="E963" s="100"/>
      <c r="F963" s="100"/>
      <c r="G963" s="100"/>
    </row>
    <row r="964" spans="1:7" x14ac:dyDescent="0.25">
      <c r="A964" s="13"/>
      <c r="B964" s="14"/>
      <c r="C964" s="15"/>
      <c r="D964" s="15"/>
      <c r="E964" s="17"/>
      <c r="F964" s="17"/>
      <c r="G964" s="17"/>
    </row>
    <row r="965" spans="1:7" x14ac:dyDescent="0.25">
      <c r="A965" s="13"/>
      <c r="B965" s="15"/>
      <c r="C965" s="15"/>
      <c r="D965" s="15"/>
      <c r="E965" s="17"/>
      <c r="F965" s="17"/>
      <c r="G965" s="17"/>
    </row>
    <row r="966" spans="1:7" x14ac:dyDescent="0.25">
      <c r="A966" s="52"/>
      <c r="B966" s="15"/>
      <c r="C966" s="15"/>
      <c r="D966" s="15"/>
      <c r="E966" s="93"/>
      <c r="F966" s="93"/>
      <c r="G966" s="93"/>
    </row>
    <row r="967" spans="1:7" x14ac:dyDescent="0.25">
      <c r="A967" s="99"/>
      <c r="B967" s="15"/>
      <c r="C967" s="15"/>
      <c r="D967" s="15"/>
      <c r="E967" s="93"/>
      <c r="F967" s="93"/>
      <c r="G967" s="93"/>
    </row>
    <row r="968" spans="1:7" x14ac:dyDescent="0.25">
      <c r="A968" s="13"/>
      <c r="B968" s="15"/>
      <c r="C968" s="15"/>
      <c r="D968" s="15"/>
      <c r="E968" s="17"/>
      <c r="F968" s="79"/>
      <c r="G968" s="79"/>
    </row>
    <row r="969" spans="1:7" x14ac:dyDescent="0.25">
      <c r="A969" s="162"/>
      <c r="B969" s="153"/>
      <c r="C969" s="153"/>
      <c r="D969" s="153"/>
      <c r="E969" s="154"/>
      <c r="F969" s="154"/>
      <c r="G969" s="154"/>
    </row>
    <row r="970" spans="1:7" x14ac:dyDescent="0.25">
      <c r="A970" s="111"/>
      <c r="B970" s="153"/>
      <c r="C970" s="153"/>
      <c r="D970" s="153"/>
      <c r="E970" s="154"/>
      <c r="F970" s="155"/>
      <c r="G970" s="155"/>
    </row>
    <row r="971" spans="1:7" x14ac:dyDescent="0.25">
      <c r="A971" s="111"/>
      <c r="B971" s="153"/>
      <c r="C971" s="153"/>
      <c r="D971" s="153"/>
      <c r="E971" s="154"/>
      <c r="F971" s="154"/>
      <c r="G971" s="154"/>
    </row>
    <row r="972" spans="1:7" x14ac:dyDescent="0.25">
      <c r="A972" s="111"/>
      <c r="B972" s="153"/>
      <c r="C972" s="153"/>
      <c r="D972" s="153"/>
      <c r="E972" s="154"/>
      <c r="F972" s="155"/>
      <c r="G972" s="155"/>
    </row>
    <row r="973" spans="1:7" x14ac:dyDescent="0.25">
      <c r="A973" s="57"/>
      <c r="B973" s="15"/>
      <c r="C973" s="58"/>
      <c r="D973" s="23"/>
      <c r="E973" s="100"/>
      <c r="F973" s="100"/>
      <c r="G973" s="100"/>
    </row>
    <row r="974" spans="1:7" x14ac:dyDescent="0.25">
      <c r="A974" s="57"/>
      <c r="B974" s="15"/>
      <c r="C974" s="58"/>
      <c r="D974" s="23"/>
      <c r="E974" s="100"/>
      <c r="F974" s="100"/>
      <c r="G974" s="100"/>
    </row>
    <row r="975" spans="1:7" x14ac:dyDescent="0.25">
      <c r="A975" s="59"/>
      <c r="B975" s="15"/>
      <c r="C975" s="58"/>
      <c r="D975" s="23"/>
      <c r="E975" s="100"/>
      <c r="F975" s="100"/>
      <c r="G975" s="100"/>
    </row>
    <row r="976" spans="1:7" x14ac:dyDescent="0.25">
      <c r="A976" s="69"/>
      <c r="B976" s="47"/>
      <c r="C976" s="47"/>
      <c r="D976" s="30"/>
      <c r="E976" s="101"/>
      <c r="F976" s="101"/>
      <c r="G976" s="101"/>
    </row>
    <row r="977" spans="1:7" x14ac:dyDescent="0.25">
      <c r="A977" s="70"/>
      <c r="B977" s="47"/>
      <c r="C977" s="47"/>
      <c r="D977" s="30"/>
      <c r="E977" s="101"/>
      <c r="F977" s="101"/>
      <c r="G977" s="101"/>
    </row>
    <row r="978" spans="1:7" x14ac:dyDescent="0.25">
      <c r="A978" s="49"/>
      <c r="B978" s="47"/>
      <c r="C978" s="47"/>
      <c r="D978" s="30"/>
      <c r="E978" s="101"/>
      <c r="F978" s="101"/>
      <c r="G978" s="101"/>
    </row>
    <row r="979" spans="1:7" x14ac:dyDescent="0.25">
      <c r="A979" s="13"/>
      <c r="B979" s="32"/>
      <c r="C979" s="32"/>
      <c r="D979" s="22"/>
      <c r="E979" s="101"/>
      <c r="F979" s="101"/>
      <c r="G979" s="101"/>
    </row>
    <row r="980" spans="1:7" x14ac:dyDescent="0.25">
      <c r="A980" s="13"/>
      <c r="B980" s="47"/>
      <c r="C980" s="47"/>
      <c r="D980" s="30"/>
      <c r="E980" s="17"/>
      <c r="F980" s="17"/>
      <c r="G980" s="17"/>
    </row>
    <row r="981" spans="1:7" x14ac:dyDescent="0.25">
      <c r="A981" s="102"/>
      <c r="B981" s="47"/>
      <c r="C981" s="47"/>
      <c r="D981" s="30"/>
      <c r="E981" s="101"/>
      <c r="F981" s="101"/>
      <c r="G981" s="101"/>
    </row>
    <row r="982" spans="1:7" x14ac:dyDescent="0.25">
      <c r="A982" s="52"/>
      <c r="B982" s="47"/>
      <c r="C982" s="47"/>
      <c r="D982" s="30"/>
      <c r="E982" s="17"/>
      <c r="F982" s="17"/>
      <c r="G982" s="17"/>
    </row>
    <row r="983" spans="1:7" x14ac:dyDescent="0.25">
      <c r="A983" s="85"/>
      <c r="B983" s="103"/>
      <c r="C983" s="103"/>
      <c r="D983" s="104"/>
      <c r="E983" s="156"/>
      <c r="F983" s="156"/>
      <c r="G983" s="156"/>
    </row>
    <row r="984" spans="1:7" x14ac:dyDescent="0.25">
      <c r="A984" s="13"/>
      <c r="B984" s="32"/>
      <c r="C984" s="15"/>
      <c r="D984" s="16"/>
      <c r="E984" s="79"/>
      <c r="F984" s="79"/>
      <c r="G984" s="79"/>
    </row>
    <row r="985" spans="1:7" x14ac:dyDescent="0.25">
      <c r="A985" s="13"/>
      <c r="B985" s="32"/>
      <c r="C985" s="15"/>
      <c r="D985" s="16"/>
      <c r="E985" s="79"/>
      <c r="F985" s="79"/>
      <c r="G985" s="79"/>
    </row>
    <row r="986" spans="1:7" x14ac:dyDescent="0.25">
      <c r="A986" s="13"/>
      <c r="B986" s="32"/>
      <c r="C986" s="15"/>
      <c r="D986" s="16"/>
      <c r="E986" s="79"/>
      <c r="F986" s="79"/>
      <c r="G986" s="79"/>
    </row>
    <row r="987" spans="1:7" ht="27.95" customHeight="1" x14ac:dyDescent="0.25">
      <c r="A987" s="13"/>
      <c r="B987" s="14"/>
      <c r="C987" s="15"/>
      <c r="D987" s="68"/>
      <c r="E987" s="79"/>
      <c r="F987" s="79"/>
      <c r="G987" s="79"/>
    </row>
    <row r="988" spans="1:7" x14ac:dyDescent="0.25">
      <c r="A988" s="65"/>
      <c r="B988" s="14"/>
      <c r="C988" s="15"/>
      <c r="D988" s="68"/>
      <c r="E988" s="79"/>
      <c r="F988" s="79"/>
      <c r="G988" s="79"/>
    </row>
    <row r="989" spans="1:7" x14ac:dyDescent="0.25">
      <c r="A989" s="95"/>
      <c r="B989" s="14"/>
      <c r="C989" s="15"/>
      <c r="D989" s="68"/>
      <c r="E989" s="79"/>
      <c r="F989" s="79"/>
      <c r="G989" s="79"/>
    </row>
    <row r="990" spans="1:7" x14ac:dyDescent="0.25">
      <c r="A990" s="95"/>
      <c r="B990" s="14"/>
      <c r="C990" s="15"/>
      <c r="D990" s="16"/>
      <c r="E990" s="79"/>
      <c r="F990" s="79"/>
      <c r="G990" s="79"/>
    </row>
    <row r="991" spans="1:7" x14ac:dyDescent="0.25">
      <c r="A991" s="52"/>
      <c r="B991" s="14"/>
      <c r="C991" s="15"/>
      <c r="D991" s="23"/>
      <c r="E991" s="17"/>
      <c r="F991" s="17"/>
      <c r="G991" s="17"/>
    </row>
    <row r="992" spans="1:7" x14ac:dyDescent="0.25">
      <c r="A992" s="13"/>
      <c r="B992" s="14"/>
      <c r="C992" s="15"/>
      <c r="D992" s="23"/>
      <c r="E992" s="17"/>
      <c r="F992" s="17"/>
      <c r="G992" s="17"/>
    </row>
    <row r="993" spans="1:7" x14ac:dyDescent="0.25">
      <c r="A993" s="13"/>
      <c r="B993" s="14"/>
      <c r="C993" s="15"/>
      <c r="D993" s="23"/>
      <c r="E993" s="17"/>
      <c r="F993" s="17"/>
      <c r="G993" s="17"/>
    </row>
    <row r="994" spans="1:7" x14ac:dyDescent="0.25">
      <c r="A994" s="19"/>
      <c r="B994" s="14"/>
      <c r="C994" s="15"/>
      <c r="D994" s="23"/>
      <c r="E994" s="17"/>
      <c r="F994" s="17"/>
      <c r="G994" s="17"/>
    </row>
    <row r="995" spans="1:7" x14ac:dyDescent="0.25">
      <c r="A995" s="13"/>
      <c r="B995" s="14"/>
      <c r="C995" s="15"/>
      <c r="D995" s="15"/>
      <c r="E995" s="79"/>
      <c r="F995" s="79"/>
      <c r="G995" s="79"/>
    </row>
    <row r="996" spans="1:7" x14ac:dyDescent="0.25">
      <c r="A996" s="112"/>
      <c r="B996" s="14"/>
      <c r="C996" s="15"/>
      <c r="D996" s="15"/>
      <c r="E996" s="79"/>
      <c r="F996" s="79"/>
      <c r="G996" s="79"/>
    </row>
    <row r="997" spans="1:7" x14ac:dyDescent="0.25">
      <c r="A997" s="13"/>
      <c r="B997" s="14"/>
      <c r="C997" s="15"/>
      <c r="D997" s="15"/>
      <c r="E997" s="86"/>
      <c r="F997" s="79"/>
      <c r="G997" s="79"/>
    </row>
    <row r="998" spans="1:7" x14ac:dyDescent="0.25">
      <c r="A998" s="43"/>
      <c r="B998" s="14"/>
      <c r="C998" s="15"/>
      <c r="D998" s="15"/>
      <c r="E998" s="86"/>
      <c r="F998" s="79"/>
      <c r="G998" s="79"/>
    </row>
    <row r="999" spans="1:7" x14ac:dyDescent="0.25">
      <c r="A999" s="13"/>
      <c r="B999" s="14"/>
      <c r="C999" s="15"/>
      <c r="D999" s="15"/>
      <c r="E999" s="86"/>
      <c r="F999" s="79"/>
      <c r="G999" s="79"/>
    </row>
    <row r="1000" spans="1:7" ht="15.75" x14ac:dyDescent="0.25">
      <c r="A1000" s="145"/>
      <c r="B1000" s="14"/>
      <c r="C1000" s="15"/>
      <c r="D1000" s="15"/>
      <c r="E1000" s="17"/>
      <c r="F1000" s="17"/>
      <c r="G1000" s="17"/>
    </row>
    <row r="1001" spans="1:7" x14ac:dyDescent="0.25">
      <c r="A1001" s="13"/>
      <c r="B1001" s="14"/>
      <c r="C1001" s="15"/>
      <c r="D1001" s="15"/>
      <c r="E1001" s="17"/>
      <c r="F1001" s="79"/>
      <c r="G1001" s="79"/>
    </row>
    <row r="1002" spans="1:7" x14ac:dyDescent="0.25">
      <c r="A1002" s="57"/>
      <c r="B1002" s="15"/>
      <c r="C1002" s="58"/>
      <c r="D1002" s="23"/>
      <c r="E1002" s="100"/>
      <c r="F1002" s="100"/>
      <c r="G1002" s="100"/>
    </row>
    <row r="1003" spans="1:7" x14ac:dyDescent="0.25">
      <c r="A1003" s="57"/>
      <c r="B1003" s="15"/>
      <c r="C1003" s="58"/>
      <c r="D1003" s="23"/>
      <c r="E1003" s="100"/>
      <c r="F1003" s="100"/>
      <c r="G1003" s="100"/>
    </row>
    <row r="1004" spans="1:7" x14ac:dyDescent="0.25">
      <c r="A1004" s="59"/>
      <c r="B1004" s="15"/>
      <c r="C1004" s="58"/>
      <c r="D1004" s="23"/>
      <c r="E1004" s="100"/>
      <c r="F1004" s="100"/>
      <c r="G1004" s="100"/>
    </row>
    <row r="1005" spans="1:7" x14ac:dyDescent="0.25">
      <c r="A1005" s="69"/>
      <c r="B1005" s="14"/>
      <c r="C1005" s="67"/>
      <c r="D1005" s="68"/>
      <c r="E1005" s="79"/>
      <c r="F1005" s="79"/>
      <c r="G1005" s="79"/>
    </row>
    <row r="1006" spans="1:7" x14ac:dyDescent="0.25">
      <c r="A1006" s="105"/>
      <c r="B1006" s="14"/>
      <c r="C1006" s="67"/>
      <c r="D1006" s="68"/>
      <c r="E1006" s="79"/>
      <c r="F1006" s="79"/>
      <c r="G1006" s="79"/>
    </row>
    <row r="1007" spans="1:7" x14ac:dyDescent="0.25">
      <c r="A1007" s="49"/>
      <c r="B1007" s="32"/>
      <c r="C1007" s="32"/>
      <c r="D1007" s="22"/>
      <c r="E1007" s="79"/>
      <c r="F1007" s="79"/>
      <c r="G1007" s="79"/>
    </row>
    <row r="1008" spans="1:7" x14ac:dyDescent="0.25">
      <c r="A1008" s="13"/>
      <c r="B1008" s="32"/>
      <c r="C1008" s="32"/>
      <c r="D1008" s="22"/>
      <c r="E1008" s="79"/>
      <c r="F1008" s="79"/>
      <c r="G1008" s="79"/>
    </row>
    <row r="1009" spans="1:7" x14ac:dyDescent="0.25">
      <c r="A1009" s="96"/>
      <c r="B1009" s="14"/>
      <c r="C1009" s="67"/>
      <c r="D1009" s="68"/>
      <c r="E1009" s="79"/>
      <c r="F1009" s="79"/>
      <c r="G1009" s="79"/>
    </row>
    <row r="1010" spans="1:7" x14ac:dyDescent="0.25">
      <c r="A1010" s="52"/>
      <c r="B1010" s="14"/>
      <c r="C1010" s="67"/>
      <c r="D1010" s="68"/>
      <c r="E1010" s="86"/>
      <c r="F1010" s="86"/>
      <c r="G1010" s="79"/>
    </row>
    <row r="1011" spans="1:7" x14ac:dyDescent="0.25">
      <c r="A1011" s="19"/>
      <c r="B1011" s="14"/>
      <c r="C1011" s="106"/>
      <c r="D1011" s="15"/>
      <c r="E1011" s="79"/>
      <c r="F1011" s="79"/>
      <c r="G1011" s="79"/>
    </row>
    <row r="1012" spans="1:7" x14ac:dyDescent="0.25">
      <c r="A1012" s="52"/>
      <c r="B1012" s="14"/>
      <c r="C1012" s="15"/>
      <c r="D1012" s="15"/>
      <c r="E1012" s="79"/>
      <c r="F1012" s="79"/>
      <c r="G1012" s="79"/>
    </row>
    <row r="1013" spans="1:7" x14ac:dyDescent="0.25">
      <c r="A1013" s="52"/>
      <c r="B1013" s="14"/>
      <c r="C1013" s="67"/>
      <c r="D1013" s="15"/>
      <c r="E1013" s="79"/>
      <c r="F1013" s="79"/>
      <c r="G1013" s="79"/>
    </row>
    <row r="1014" spans="1:7" x14ac:dyDescent="0.25">
      <c r="A1014" s="13"/>
      <c r="B1014" s="14"/>
      <c r="C1014" s="15"/>
      <c r="D1014" s="15"/>
      <c r="E1014" s="79"/>
      <c r="F1014" s="79"/>
      <c r="G1014" s="79"/>
    </row>
    <row r="1015" spans="1:7" x14ac:dyDescent="0.25">
      <c r="A1015" s="13"/>
      <c r="B1015" s="14"/>
      <c r="C1015" s="15"/>
      <c r="D1015" s="15"/>
      <c r="E1015" s="79"/>
      <c r="F1015" s="79"/>
      <c r="G1015" s="79"/>
    </row>
    <row r="1016" spans="1:7" x14ac:dyDescent="0.25">
      <c r="A1016" s="65"/>
      <c r="B1016" s="14"/>
      <c r="C1016" s="15"/>
      <c r="D1016" s="15"/>
      <c r="E1016" s="79"/>
      <c r="F1016" s="79"/>
      <c r="G1016" s="79"/>
    </row>
    <row r="1017" spans="1:7" x14ac:dyDescent="0.25">
      <c r="A1017" s="52"/>
      <c r="B1017" s="14"/>
      <c r="C1017" s="15"/>
      <c r="D1017" s="15"/>
      <c r="E1017" s="17"/>
      <c r="F1017" s="17"/>
      <c r="G1017" s="17"/>
    </row>
    <row r="1018" spans="1:7" x14ac:dyDescent="0.25">
      <c r="A1018" s="13"/>
      <c r="B1018" s="14"/>
      <c r="C1018" s="15"/>
      <c r="D1018" s="15"/>
      <c r="E1018" s="17"/>
      <c r="F1018" s="17"/>
      <c r="G1018" s="17"/>
    </row>
    <row r="1019" spans="1:7" x14ac:dyDescent="0.25">
      <c r="A1019" s="13"/>
      <c r="B1019" s="14"/>
      <c r="C1019" s="15"/>
      <c r="D1019" s="15"/>
      <c r="E1019" s="17"/>
      <c r="F1019" s="17"/>
      <c r="G1019" s="17"/>
    </row>
    <row r="1020" spans="1:7" x14ac:dyDescent="0.25">
      <c r="A1020" s="43"/>
      <c r="B1020" s="14"/>
      <c r="C1020" s="15"/>
      <c r="D1020" s="15"/>
      <c r="E1020" s="17"/>
      <c r="F1020" s="17"/>
      <c r="G1020" s="17"/>
    </row>
    <row r="1021" spans="1:7" x14ac:dyDescent="0.25">
      <c r="A1021" s="13"/>
      <c r="B1021" s="14"/>
      <c r="C1021" s="15"/>
      <c r="D1021" s="15"/>
      <c r="E1021" s="17"/>
      <c r="F1021" s="17"/>
      <c r="G1021" s="17"/>
    </row>
    <row r="1022" spans="1:7" x14ac:dyDescent="0.25">
      <c r="A1022" s="85"/>
      <c r="B1022" s="9"/>
      <c r="C1022" s="10"/>
      <c r="D1022" s="9"/>
      <c r="E1022" s="90"/>
      <c r="F1022" s="90"/>
      <c r="G1022" s="90"/>
    </row>
    <row r="1023" spans="1:7" x14ac:dyDescent="0.25">
      <c r="A1023" s="13"/>
      <c r="B1023" s="14"/>
      <c r="C1023" s="15"/>
      <c r="D1023" s="14"/>
      <c r="E1023" s="79"/>
      <c r="F1023" s="79"/>
      <c r="G1023" s="79"/>
    </row>
    <row r="1024" spans="1:7" x14ac:dyDescent="0.25">
      <c r="A1024" s="52"/>
      <c r="B1024" s="14"/>
      <c r="C1024" s="15"/>
      <c r="D1024" s="16"/>
      <c r="E1024" s="79"/>
      <c r="F1024" s="79"/>
      <c r="G1024" s="79"/>
    </row>
    <row r="1025" spans="1:7" x14ac:dyDescent="0.25">
      <c r="A1025" s="52"/>
      <c r="B1025" s="14"/>
      <c r="C1025" s="15"/>
      <c r="D1025" s="16"/>
      <c r="E1025" s="79"/>
      <c r="F1025" s="79"/>
      <c r="G1025" s="79"/>
    </row>
    <row r="1026" spans="1:7" x14ac:dyDescent="0.25">
      <c r="A1026" s="52"/>
      <c r="B1026" s="14"/>
      <c r="C1026" s="15"/>
      <c r="D1026" s="16"/>
      <c r="E1026" s="17"/>
      <c r="F1026" s="17"/>
      <c r="G1026" s="17"/>
    </row>
    <row r="1027" spans="1:7" x14ac:dyDescent="0.25">
      <c r="A1027" s="107"/>
      <c r="B1027" s="14"/>
      <c r="C1027" s="15"/>
      <c r="D1027" s="16"/>
      <c r="E1027" s="79"/>
      <c r="F1027" s="79"/>
      <c r="G1027" s="79"/>
    </row>
    <row r="1028" spans="1:7" x14ac:dyDescent="0.25">
      <c r="A1028" s="52"/>
      <c r="B1028" s="14"/>
      <c r="C1028" s="15"/>
      <c r="D1028" s="16"/>
      <c r="E1028" s="17"/>
      <c r="F1028" s="17"/>
      <c r="G1028" s="17"/>
    </row>
    <row r="1029" spans="1:7" x14ac:dyDescent="0.25">
      <c r="A1029" s="13"/>
      <c r="B1029" s="14"/>
      <c r="C1029" s="15"/>
      <c r="D1029" s="16"/>
      <c r="E1029" s="17"/>
      <c r="F1029" s="17"/>
      <c r="G1029" s="17"/>
    </row>
    <row r="1030" spans="1:7" x14ac:dyDescent="0.25">
      <c r="A1030" s="52"/>
      <c r="B1030" s="14"/>
      <c r="C1030" s="15"/>
      <c r="D1030" s="16"/>
      <c r="E1030" s="79"/>
      <c r="F1030" s="79"/>
      <c r="G1030" s="79"/>
    </row>
    <row r="1031" spans="1:7" x14ac:dyDescent="0.25">
      <c r="A1031" s="52"/>
      <c r="B1031" s="14"/>
      <c r="C1031" s="15"/>
      <c r="D1031" s="16"/>
      <c r="E1031" s="79"/>
      <c r="F1031" s="79"/>
      <c r="G1031" s="79"/>
    </row>
    <row r="1032" spans="1:7" x14ac:dyDescent="0.25">
      <c r="A1032" s="52"/>
      <c r="B1032" s="14"/>
      <c r="C1032" s="15"/>
      <c r="D1032" s="16"/>
      <c r="E1032" s="17"/>
      <c r="F1032" s="17"/>
      <c r="G1032" s="17"/>
    </row>
    <row r="1033" spans="1:7" x14ac:dyDescent="0.25">
      <c r="A1033" s="13"/>
      <c r="B1033" s="14"/>
      <c r="C1033" s="15"/>
      <c r="D1033" s="16"/>
      <c r="E1033" s="79"/>
      <c r="F1033" s="79"/>
      <c r="G1033" s="79"/>
    </row>
    <row r="1034" spans="1:7" x14ac:dyDescent="0.25">
      <c r="A1034" s="95"/>
      <c r="B1034" s="15"/>
      <c r="C1034" s="15"/>
      <c r="D1034" s="23"/>
      <c r="E1034" s="79"/>
      <c r="F1034" s="79"/>
      <c r="G1034" s="79"/>
    </row>
    <row r="1035" spans="1:7" x14ac:dyDescent="0.25">
      <c r="A1035" s="107"/>
      <c r="B1035" s="67"/>
      <c r="C1035" s="67"/>
      <c r="D1035" s="23"/>
      <c r="E1035" s="79"/>
      <c r="F1035" s="79"/>
      <c r="G1035" s="79"/>
    </row>
    <row r="1036" spans="1:7" x14ac:dyDescent="0.25">
      <c r="A1036" s="95"/>
      <c r="B1036" s="15"/>
      <c r="C1036" s="15"/>
      <c r="D1036" s="23"/>
      <c r="E1036" s="79"/>
      <c r="F1036" s="79"/>
      <c r="G1036" s="79"/>
    </row>
    <row r="1037" spans="1:7" x14ac:dyDescent="0.25">
      <c r="A1037" s="52"/>
      <c r="B1037" s="14"/>
      <c r="C1037" s="15"/>
      <c r="D1037" s="16"/>
      <c r="E1037" s="79"/>
      <c r="F1037" s="79"/>
      <c r="G1037" s="79"/>
    </row>
    <row r="1038" spans="1:7" x14ac:dyDescent="0.25">
      <c r="A1038" s="52"/>
      <c r="B1038" s="14"/>
      <c r="C1038" s="15"/>
      <c r="D1038" s="16"/>
      <c r="E1038" s="79"/>
      <c r="F1038" s="79"/>
      <c r="G1038" s="79"/>
    </row>
    <row r="1039" spans="1:7" x14ac:dyDescent="0.25">
      <c r="A1039" s="52"/>
      <c r="B1039" s="14"/>
      <c r="C1039" s="15"/>
      <c r="D1039" s="16"/>
      <c r="E1039" s="79"/>
      <c r="F1039" s="79"/>
      <c r="G1039" s="79"/>
    </row>
    <row r="1040" spans="1:7" x14ac:dyDescent="0.25">
      <c r="A1040" s="13"/>
      <c r="B1040" s="14"/>
      <c r="C1040" s="58"/>
      <c r="D1040" s="16"/>
      <c r="E1040" s="17"/>
      <c r="F1040" s="17"/>
      <c r="G1040" s="17"/>
    </row>
    <row r="1041" spans="1:7" x14ac:dyDescent="0.25">
      <c r="A1041" s="13"/>
      <c r="B1041" s="14"/>
      <c r="C1041" s="58"/>
      <c r="D1041" s="16"/>
      <c r="E1041" s="17"/>
      <c r="F1041" s="17"/>
      <c r="G1041" s="17"/>
    </row>
    <row r="1042" spans="1:7" x14ac:dyDescent="0.25">
      <c r="A1042" s="13"/>
      <c r="B1042" s="14"/>
      <c r="C1042" s="58"/>
      <c r="D1042" s="16"/>
      <c r="E1042" s="17"/>
      <c r="F1042" s="17"/>
      <c r="G1042" s="17"/>
    </row>
    <row r="1043" spans="1:7" x14ac:dyDescent="0.25">
      <c r="A1043" s="85"/>
      <c r="B1043" s="9"/>
      <c r="C1043" s="73"/>
      <c r="D1043" s="11"/>
      <c r="E1043" s="91"/>
      <c r="F1043" s="91"/>
      <c r="G1043" s="91"/>
    </row>
    <row r="1044" spans="1:7" ht="33.75" customHeight="1" x14ac:dyDescent="0.25">
      <c r="A1044" s="13"/>
      <c r="B1044" s="15"/>
      <c r="C1044" s="15"/>
      <c r="D1044" s="23"/>
      <c r="E1044" s="94"/>
      <c r="F1044" s="94"/>
      <c r="G1044" s="94"/>
    </row>
    <row r="1045" spans="1:7" ht="33.75" customHeight="1" x14ac:dyDescent="0.25">
      <c r="A1045" s="19"/>
      <c r="B1045" s="14"/>
      <c r="C1045" s="15"/>
      <c r="D1045" s="23"/>
      <c r="E1045" s="94"/>
      <c r="F1045" s="94"/>
      <c r="G1045" s="94"/>
    </row>
    <row r="1046" spans="1:7" ht="39.75" customHeight="1" x14ac:dyDescent="0.25">
      <c r="A1046" s="20"/>
      <c r="B1046" s="14"/>
      <c r="C1046" s="15"/>
      <c r="D1046" s="23"/>
      <c r="E1046" s="94"/>
      <c r="F1046" s="94"/>
      <c r="G1046" s="94"/>
    </row>
    <row r="1047" spans="1:7" ht="63" customHeight="1" x14ac:dyDescent="0.25">
      <c r="A1047" s="108"/>
      <c r="B1047" s="15"/>
      <c r="C1047" s="67"/>
      <c r="D1047" s="23"/>
      <c r="E1047" s="94"/>
      <c r="F1047" s="94"/>
      <c r="G1047" s="94"/>
    </row>
    <row r="1048" spans="1:7" ht="30" customHeight="1" x14ac:dyDescent="0.25">
      <c r="A1048" s="13"/>
      <c r="B1048" s="15"/>
      <c r="C1048" s="67"/>
      <c r="D1048" s="23"/>
      <c r="E1048" s="94"/>
      <c r="F1048" s="94"/>
      <c r="G1048" s="94"/>
    </row>
    <row r="1049" spans="1:7" ht="79.5" customHeight="1" x14ac:dyDescent="0.25">
      <c r="A1049" s="13"/>
      <c r="B1049" s="15"/>
      <c r="C1049" s="15"/>
      <c r="D1049" s="23"/>
      <c r="E1049" s="94"/>
      <c r="F1049" s="94"/>
      <c r="G1049" s="94"/>
    </row>
    <row r="1050" spans="1:7" ht="30" customHeight="1" x14ac:dyDescent="0.25">
      <c r="A1050" s="13"/>
      <c r="B1050" s="15"/>
      <c r="C1050" s="15"/>
      <c r="D1050" s="23"/>
      <c r="E1050" s="94"/>
      <c r="F1050" s="94"/>
      <c r="G1050" s="94"/>
    </row>
    <row r="1051" spans="1:7" ht="66" customHeight="1" x14ac:dyDescent="0.25">
      <c r="A1051" s="74"/>
      <c r="B1051" s="15"/>
      <c r="C1051" s="15"/>
      <c r="D1051" s="23"/>
      <c r="E1051" s="94"/>
      <c r="F1051" s="94"/>
      <c r="G1051" s="94"/>
    </row>
    <row r="1052" spans="1:7" ht="29.25" customHeight="1" x14ac:dyDescent="0.25">
      <c r="A1052" s="13"/>
      <c r="B1052" s="15"/>
      <c r="C1052" s="15"/>
      <c r="D1052" s="23"/>
      <c r="E1052" s="94"/>
      <c r="F1052" s="94"/>
      <c r="G1052" s="94"/>
    </row>
    <row r="1053" spans="1:7" ht="29.25" customHeight="1" x14ac:dyDescent="0.25">
      <c r="A1053" s="13"/>
      <c r="B1053" s="15"/>
      <c r="C1053" s="15"/>
      <c r="D1053" s="15"/>
      <c r="E1053" s="94"/>
      <c r="F1053" s="94"/>
      <c r="G1053" s="94"/>
    </row>
    <row r="1054" spans="1:7" ht="29.25" customHeight="1" x14ac:dyDescent="0.25">
      <c r="A1054" s="13"/>
      <c r="B1054" s="15"/>
      <c r="C1054" s="15"/>
      <c r="D1054" s="15"/>
      <c r="E1054" s="94"/>
      <c r="F1054" s="94"/>
      <c r="G1054" s="94"/>
    </row>
    <row r="1055" spans="1:7" x14ac:dyDescent="0.25">
      <c r="A1055" s="95"/>
      <c r="B1055" s="15"/>
      <c r="C1055" s="67"/>
      <c r="D1055" s="23"/>
      <c r="E1055" s="94"/>
      <c r="F1055" s="94"/>
      <c r="G1055" s="94"/>
    </row>
    <row r="1056" spans="1:7" x14ac:dyDescent="0.25">
      <c r="A1056" s="107"/>
      <c r="B1056" s="15"/>
      <c r="C1056" s="67"/>
      <c r="D1056" s="23"/>
      <c r="E1056" s="94"/>
      <c r="F1056" s="94"/>
      <c r="G1056" s="94"/>
    </row>
    <row r="1057" spans="1:7" x14ac:dyDescent="0.25">
      <c r="A1057" s="13"/>
      <c r="B1057" s="14"/>
      <c r="C1057" s="15"/>
      <c r="D1057" s="23"/>
      <c r="E1057" s="94"/>
      <c r="F1057" s="94"/>
      <c r="G1057" s="94"/>
    </row>
    <row r="1058" spans="1:7" x14ac:dyDescent="0.25">
      <c r="A1058" s="13"/>
      <c r="B1058" s="14"/>
      <c r="C1058" s="15"/>
      <c r="D1058" s="23"/>
      <c r="E1058" s="94"/>
      <c r="F1058" s="94"/>
      <c r="G1058" s="94"/>
    </row>
    <row r="1059" spans="1:7" x14ac:dyDescent="0.25">
      <c r="A1059" s="13"/>
      <c r="B1059" s="14"/>
      <c r="C1059" s="15"/>
      <c r="D1059" s="16"/>
      <c r="E1059" s="94"/>
      <c r="F1059" s="94"/>
      <c r="G1059" s="94"/>
    </row>
    <row r="1060" spans="1:7" x14ac:dyDescent="0.25">
      <c r="A1060" s="13"/>
      <c r="B1060" s="14"/>
      <c r="C1060" s="15"/>
      <c r="D1060" s="16"/>
      <c r="E1060" s="94"/>
      <c r="F1060" s="94"/>
      <c r="G1060" s="94"/>
    </row>
    <row r="1061" spans="1:7" x14ac:dyDescent="0.25">
      <c r="A1061" s="13"/>
      <c r="B1061" s="15"/>
      <c r="C1061" s="32"/>
      <c r="D1061" s="23"/>
      <c r="E1061" s="17"/>
      <c r="F1061" s="17"/>
      <c r="G1061" s="17"/>
    </row>
    <row r="1062" spans="1:7" x14ac:dyDescent="0.25">
      <c r="A1062" s="13"/>
      <c r="B1062" s="15"/>
      <c r="C1062" s="32"/>
      <c r="D1062" s="22"/>
      <c r="E1062" s="17"/>
      <c r="F1062" s="17"/>
      <c r="G1062" s="17"/>
    </row>
    <row r="1063" spans="1:7" x14ac:dyDescent="0.25">
      <c r="A1063" s="13"/>
      <c r="B1063" s="14"/>
      <c r="C1063" s="32"/>
      <c r="D1063" s="22"/>
      <c r="E1063" s="17"/>
      <c r="F1063" s="17"/>
      <c r="G1063" s="17"/>
    </row>
    <row r="1064" spans="1:7" x14ac:dyDescent="0.25">
      <c r="A1064" s="13"/>
      <c r="B1064" s="14"/>
      <c r="C1064" s="15"/>
      <c r="D1064" s="22"/>
      <c r="E1064" s="17"/>
      <c r="F1064" s="17"/>
      <c r="G1064" s="17"/>
    </row>
    <row r="1065" spans="1:7" x14ac:dyDescent="0.25">
      <c r="A1065" s="13"/>
      <c r="B1065" s="14"/>
      <c r="C1065" s="15"/>
      <c r="D1065" s="22"/>
      <c r="E1065" s="17"/>
      <c r="F1065" s="17"/>
      <c r="G1065" s="17"/>
    </row>
    <row r="1066" spans="1:7" x14ac:dyDescent="0.25">
      <c r="A1066" s="43"/>
      <c r="B1066" s="14"/>
      <c r="C1066" s="58"/>
      <c r="D1066" s="22"/>
      <c r="E1066" s="79"/>
      <c r="F1066" s="79"/>
      <c r="G1066" s="79"/>
    </row>
    <row r="1067" spans="1:7" x14ac:dyDescent="0.25">
      <c r="A1067" s="43"/>
      <c r="B1067" s="14"/>
      <c r="C1067" s="58"/>
      <c r="D1067" s="22"/>
      <c r="E1067" s="79"/>
      <c r="F1067" s="79"/>
      <c r="G1067" s="79"/>
    </row>
    <row r="1068" spans="1:7" x14ac:dyDescent="0.25">
      <c r="A1068" s="13"/>
      <c r="B1068" s="14"/>
      <c r="C1068" s="58"/>
      <c r="D1068" s="22"/>
      <c r="E1068" s="17"/>
      <c r="F1068" s="17"/>
      <c r="G1068" s="17"/>
    </row>
    <row r="1069" spans="1:7" x14ac:dyDescent="0.25">
      <c r="A1069" s="13"/>
      <c r="B1069" s="14"/>
      <c r="C1069" s="67"/>
      <c r="D1069" s="16"/>
      <c r="E1069" s="79"/>
      <c r="F1069" s="79"/>
      <c r="G1069" s="79"/>
    </row>
    <row r="1070" spans="1:7" x14ac:dyDescent="0.25">
      <c r="A1070" s="52"/>
      <c r="B1070" s="14"/>
      <c r="C1070" s="67"/>
      <c r="D1070" s="16"/>
      <c r="E1070" s="79"/>
      <c r="F1070" s="79"/>
      <c r="G1070" s="79"/>
    </row>
    <row r="1071" spans="1:7" x14ac:dyDescent="0.25">
      <c r="A1071" s="95"/>
      <c r="B1071" s="14"/>
      <c r="C1071" s="58"/>
      <c r="D1071" s="16"/>
      <c r="E1071" s="79"/>
      <c r="F1071" s="79"/>
      <c r="G1071" s="79"/>
    </row>
    <row r="1072" spans="1:7" x14ac:dyDescent="0.25">
      <c r="A1072" s="52"/>
      <c r="B1072" s="14"/>
      <c r="C1072" s="58"/>
      <c r="D1072" s="16"/>
      <c r="E1072" s="17"/>
      <c r="F1072" s="17"/>
      <c r="G1072" s="17"/>
    </row>
    <row r="1073" spans="1:7" x14ac:dyDescent="0.25">
      <c r="A1073" s="52"/>
      <c r="B1073" s="14"/>
      <c r="C1073" s="58"/>
      <c r="D1073" s="16"/>
      <c r="E1073" s="17"/>
      <c r="F1073" s="17"/>
      <c r="G1073" s="17"/>
    </row>
    <row r="1074" spans="1:7" x14ac:dyDescent="0.25">
      <c r="A1074" s="13"/>
      <c r="B1074" s="14"/>
      <c r="C1074" s="58"/>
      <c r="D1074" s="16"/>
      <c r="E1074" s="17"/>
      <c r="F1074" s="17"/>
      <c r="G1074" s="17"/>
    </row>
    <row r="1075" spans="1:7" x14ac:dyDescent="0.25">
      <c r="A1075" s="65"/>
      <c r="B1075" s="14"/>
      <c r="C1075" s="58"/>
      <c r="D1075" s="16"/>
      <c r="E1075" s="17"/>
      <c r="F1075" s="17"/>
      <c r="G1075" s="17"/>
    </row>
    <row r="1076" spans="1:7" x14ac:dyDescent="0.25">
      <c r="A1076" s="65"/>
      <c r="B1076" s="14"/>
      <c r="C1076" s="58"/>
      <c r="D1076" s="16"/>
      <c r="E1076" s="79"/>
      <c r="F1076" s="79"/>
      <c r="G1076" s="79"/>
    </row>
    <row r="1077" spans="1:7" x14ac:dyDescent="0.25">
      <c r="A1077" s="52"/>
      <c r="B1077" s="14"/>
      <c r="C1077" s="58"/>
      <c r="D1077" s="16"/>
      <c r="E1077" s="17"/>
      <c r="F1077" s="17"/>
      <c r="G1077" s="17"/>
    </row>
    <row r="1078" spans="1:7" x14ac:dyDescent="0.25">
      <c r="A1078" s="52"/>
      <c r="B1078" s="14"/>
      <c r="C1078" s="58"/>
      <c r="D1078" s="16"/>
      <c r="E1078" s="17"/>
      <c r="F1078" s="17"/>
      <c r="G1078" s="17"/>
    </row>
    <row r="1079" spans="1:7" x14ac:dyDescent="0.25">
      <c r="A1079" s="52"/>
      <c r="B1079" s="14"/>
      <c r="C1079" s="58"/>
      <c r="D1079" s="16"/>
      <c r="E1079" s="17"/>
      <c r="F1079" s="17"/>
      <c r="G1079" s="17"/>
    </row>
    <row r="1080" spans="1:7" x14ac:dyDescent="0.25">
      <c r="A1080" s="65"/>
      <c r="B1080" s="14"/>
      <c r="C1080" s="58"/>
      <c r="D1080" s="16"/>
      <c r="E1080" s="17"/>
      <c r="F1080" s="17"/>
      <c r="G1080" s="17"/>
    </row>
    <row r="1081" spans="1:7" x14ac:dyDescent="0.25">
      <c r="A1081" s="109"/>
      <c r="B1081" s="14"/>
      <c r="C1081" s="58"/>
      <c r="D1081" s="16"/>
      <c r="E1081" s="79"/>
      <c r="F1081" s="79"/>
      <c r="G1081" s="79"/>
    </row>
    <row r="1082" spans="1:7" x14ac:dyDescent="0.25">
      <c r="A1082" s="109"/>
      <c r="B1082" s="14"/>
      <c r="C1082" s="58"/>
      <c r="D1082" s="16"/>
      <c r="E1082" s="79"/>
      <c r="F1082" s="79"/>
      <c r="G1082" s="79"/>
    </row>
    <row r="1083" spans="1:7" x14ac:dyDescent="0.25">
      <c r="A1083" s="13"/>
      <c r="B1083" s="14"/>
      <c r="C1083" s="58"/>
      <c r="D1083" s="16"/>
      <c r="E1083" s="17"/>
      <c r="F1083" s="17"/>
      <c r="G1083" s="17"/>
    </row>
    <row r="1084" spans="1:7" x14ac:dyDescent="0.25">
      <c r="A1084" s="85"/>
      <c r="B1084" s="9"/>
      <c r="C1084" s="73"/>
      <c r="D1084" s="11"/>
      <c r="E1084" s="90"/>
      <c r="F1084" s="90"/>
      <c r="G1084" s="90"/>
    </row>
    <row r="1085" spans="1:7" x14ac:dyDescent="0.25">
      <c r="A1085" s="85"/>
      <c r="B1085" s="9"/>
      <c r="C1085" s="10"/>
      <c r="D1085" s="11"/>
      <c r="E1085" s="90"/>
      <c r="F1085" s="90"/>
      <c r="G1085" s="90"/>
    </row>
    <row r="1086" spans="1:7" x14ac:dyDescent="0.25">
      <c r="A1086" s="19"/>
      <c r="B1086" s="14"/>
      <c r="C1086" s="110"/>
      <c r="D1086" s="16"/>
      <c r="E1086" s="33"/>
      <c r="F1086" s="33"/>
      <c r="G1086" s="33"/>
    </row>
    <row r="1087" spans="1:7" x14ac:dyDescent="0.25">
      <c r="A1087" s="52"/>
      <c r="B1087" s="14"/>
      <c r="C1087" s="58"/>
      <c r="D1087" s="16"/>
      <c r="E1087" s="33"/>
      <c r="F1087" s="33"/>
      <c r="G1087" s="33"/>
    </row>
    <row r="1088" spans="1:7" x14ac:dyDescent="0.25">
      <c r="A1088" s="52"/>
      <c r="B1088" s="14"/>
      <c r="C1088" s="58"/>
      <c r="D1088" s="16"/>
      <c r="E1088" s="33"/>
      <c r="F1088" s="33"/>
      <c r="G1088" s="33"/>
    </row>
    <row r="1089" spans="1:7" x14ac:dyDescent="0.25">
      <c r="A1089" s="19"/>
      <c r="B1089" s="14"/>
      <c r="C1089" s="58"/>
      <c r="D1089" s="16"/>
      <c r="E1089" s="33"/>
      <c r="F1089" s="33"/>
      <c r="G1089" s="33"/>
    </row>
    <row r="1090" spans="1:7" x14ac:dyDescent="0.25">
      <c r="A1090" s="52"/>
      <c r="B1090" s="14"/>
      <c r="C1090" s="58"/>
      <c r="D1090" s="16"/>
      <c r="E1090" s="79"/>
      <c r="F1090" s="79"/>
      <c r="G1090" s="79"/>
    </row>
    <row r="1091" spans="1:7" x14ac:dyDescent="0.25">
      <c r="A1091" s="162"/>
      <c r="B1091" s="157"/>
      <c r="C1091" s="153"/>
      <c r="D1091" s="153"/>
      <c r="E1091" s="155"/>
      <c r="F1091" s="155"/>
      <c r="G1091" s="155"/>
    </row>
    <row r="1092" spans="1:7" x14ac:dyDescent="0.25">
      <c r="A1092" s="111"/>
      <c r="B1092" s="157"/>
      <c r="C1092" s="153"/>
      <c r="D1092" s="153"/>
      <c r="E1092" s="155"/>
      <c r="F1092" s="155"/>
      <c r="G1092" s="155"/>
    </row>
    <row r="1093" spans="1:7" x14ac:dyDescent="0.25">
      <c r="A1093" s="13"/>
      <c r="B1093" s="14"/>
      <c r="C1093" s="58"/>
      <c r="D1093" s="16"/>
      <c r="E1093" s="17"/>
      <c r="F1093" s="17"/>
      <c r="G1093" s="17"/>
    </row>
    <row r="1094" spans="1:7" x14ac:dyDescent="0.25">
      <c r="A1094" s="13"/>
      <c r="B1094" s="14"/>
      <c r="C1094" s="58"/>
      <c r="D1094" s="16"/>
      <c r="E1094" s="17"/>
      <c r="F1094" s="79"/>
      <c r="G1094" s="79"/>
    </row>
    <row r="1095" spans="1:7" x14ac:dyDescent="0.25">
      <c r="A1095" s="52"/>
      <c r="B1095" s="14"/>
      <c r="C1095" s="58"/>
      <c r="D1095" s="15"/>
      <c r="E1095" s="33"/>
      <c r="F1095" s="33"/>
      <c r="G1095" s="33"/>
    </row>
    <row r="1096" spans="1:7" x14ac:dyDescent="0.25">
      <c r="A1096" s="52"/>
      <c r="B1096" s="14"/>
      <c r="C1096" s="58"/>
      <c r="D1096" s="15"/>
      <c r="E1096" s="33"/>
      <c r="F1096" s="33"/>
      <c r="G1096" s="33"/>
    </row>
    <row r="1097" spans="1:7" x14ac:dyDescent="0.25">
      <c r="A1097" s="43"/>
      <c r="B1097" s="77"/>
      <c r="C1097" s="77"/>
      <c r="D1097" s="14"/>
      <c r="E1097" s="33"/>
      <c r="F1097" s="33"/>
      <c r="G1097" s="33"/>
    </row>
    <row r="1098" spans="1:7" x14ac:dyDescent="0.25">
      <c r="A1098" s="13"/>
      <c r="B1098" s="77"/>
      <c r="C1098" s="77"/>
      <c r="D1098" s="14"/>
      <c r="E1098" s="33"/>
      <c r="F1098" s="33"/>
      <c r="G1098" s="33"/>
    </row>
    <row r="1099" spans="1:7" x14ac:dyDescent="0.25">
      <c r="A1099" s="13"/>
      <c r="B1099" s="14"/>
      <c r="C1099" s="15"/>
      <c r="D1099" s="16"/>
      <c r="E1099" s="33"/>
      <c r="F1099" s="33"/>
      <c r="G1099" s="33"/>
    </row>
    <row r="1100" spans="1:7" x14ac:dyDescent="0.25">
      <c r="A1100" s="13"/>
      <c r="B1100" s="14"/>
      <c r="C1100" s="15"/>
      <c r="D1100" s="16"/>
      <c r="E1100" s="33"/>
      <c r="F1100" s="33"/>
      <c r="G1100" s="33"/>
    </row>
    <row r="1101" spans="1:7" x14ac:dyDescent="0.25">
      <c r="A1101" s="19"/>
      <c r="B1101" s="14"/>
      <c r="C1101" s="15"/>
      <c r="D1101" s="15"/>
      <c r="E1101" s="33"/>
      <c r="F1101" s="33"/>
      <c r="G1101" s="33"/>
    </row>
    <row r="1102" spans="1:7" x14ac:dyDescent="0.25">
      <c r="A1102" s="52"/>
      <c r="B1102" s="14"/>
      <c r="C1102" s="15"/>
      <c r="D1102" s="16"/>
      <c r="E1102" s="17"/>
      <c r="F1102" s="17"/>
      <c r="G1102" s="17"/>
    </row>
    <row r="1103" spans="1:7" x14ac:dyDescent="0.25">
      <c r="A1103" s="162"/>
      <c r="B1103" s="14"/>
      <c r="C1103" s="15"/>
      <c r="D1103" s="16"/>
      <c r="E1103" s="17"/>
      <c r="F1103" s="17"/>
      <c r="G1103" s="17"/>
    </row>
    <row r="1104" spans="1:7" x14ac:dyDescent="0.25">
      <c r="A1104" s="111"/>
      <c r="B1104" s="14"/>
      <c r="C1104" s="15"/>
      <c r="D1104" s="16"/>
      <c r="E1104" s="17"/>
      <c r="F1104" s="17"/>
      <c r="G1104" s="17"/>
    </row>
    <row r="1105" spans="1:7" x14ac:dyDescent="0.25">
      <c r="A1105" s="85"/>
      <c r="B1105" s="9"/>
      <c r="C1105" s="10"/>
      <c r="D1105" s="10"/>
      <c r="E1105" s="90"/>
      <c r="F1105" s="90"/>
      <c r="G1105" s="90"/>
    </row>
    <row r="1106" spans="1:7" x14ac:dyDescent="0.25">
      <c r="A1106" s="19"/>
      <c r="B1106" s="14"/>
      <c r="C1106" s="110"/>
      <c r="D1106" s="15"/>
      <c r="E1106" s="33"/>
      <c r="F1106" s="33"/>
      <c r="G1106" s="33"/>
    </row>
    <row r="1107" spans="1:7" x14ac:dyDescent="0.25">
      <c r="A1107" s="112"/>
      <c r="B1107" s="77"/>
      <c r="C1107" s="77"/>
      <c r="D1107" s="15"/>
      <c r="E1107" s="79"/>
      <c r="F1107" s="79"/>
      <c r="G1107" s="79"/>
    </row>
    <row r="1108" spans="1:7" x14ac:dyDescent="0.25">
      <c r="A1108" s="112"/>
      <c r="B1108" s="77"/>
      <c r="C1108" s="77"/>
      <c r="D1108" s="15"/>
      <c r="E1108" s="79"/>
      <c r="F1108" s="79"/>
      <c r="G1108" s="79"/>
    </row>
    <row r="1109" spans="1:7" x14ac:dyDescent="0.25">
      <c r="A1109" s="52"/>
      <c r="B1109" s="77"/>
      <c r="C1109" s="77"/>
      <c r="D1109" s="77"/>
      <c r="E1109" s="79"/>
      <c r="F1109" s="79"/>
      <c r="G1109" s="79"/>
    </row>
    <row r="1110" spans="1:7" x14ac:dyDescent="0.25">
      <c r="A1110" s="52"/>
      <c r="B1110" s="77"/>
      <c r="C1110" s="77"/>
      <c r="D1110" s="15"/>
      <c r="E1110" s="17"/>
      <c r="F1110" s="17"/>
      <c r="G1110" s="17"/>
    </row>
    <row r="1111" spans="1:7" x14ac:dyDescent="0.25">
      <c r="A1111" s="13"/>
      <c r="B1111" s="21"/>
      <c r="C1111" s="21"/>
      <c r="D1111" s="21"/>
      <c r="E1111" s="17"/>
      <c r="F1111" s="17"/>
      <c r="G1111" s="17"/>
    </row>
    <row r="1112" spans="1:7" x14ac:dyDescent="0.25">
      <c r="A1112" s="13"/>
      <c r="B1112" s="14"/>
      <c r="C1112" s="15"/>
      <c r="D1112" s="16"/>
      <c r="E1112" s="33"/>
      <c r="F1112" s="33"/>
      <c r="G1112" s="33"/>
    </row>
    <row r="1113" spans="1:7" x14ac:dyDescent="0.25">
      <c r="A1113" s="52"/>
      <c r="B1113" s="14"/>
      <c r="C1113" s="15"/>
      <c r="D1113" s="15"/>
      <c r="E1113" s="79"/>
      <c r="F1113" s="79"/>
      <c r="G1113" s="79"/>
    </row>
    <row r="1114" spans="1:7" x14ac:dyDescent="0.25">
      <c r="A1114" s="95"/>
      <c r="B1114" s="14"/>
      <c r="C1114" s="15"/>
      <c r="D1114" s="15"/>
      <c r="E1114" s="79"/>
      <c r="F1114" s="79"/>
      <c r="G1114" s="79"/>
    </row>
    <row r="1115" spans="1:7" x14ac:dyDescent="0.25">
      <c r="A1115" s="52"/>
      <c r="B1115" s="14"/>
      <c r="C1115" s="15"/>
      <c r="D1115" s="15"/>
      <c r="E1115" s="17"/>
      <c r="F1115" s="17"/>
      <c r="G1115" s="17"/>
    </row>
    <row r="1116" spans="1:7" x14ac:dyDescent="0.25">
      <c r="A1116" s="52"/>
      <c r="B1116" s="14"/>
      <c r="C1116" s="15"/>
      <c r="D1116" s="15"/>
      <c r="E1116" s="17"/>
      <c r="F1116" s="17"/>
      <c r="G1116" s="17"/>
    </row>
    <row r="1117" spans="1:7" x14ac:dyDescent="0.25">
      <c r="A1117" s="65"/>
      <c r="B1117" s="14"/>
      <c r="C1117" s="15"/>
      <c r="D1117" s="15"/>
      <c r="E1117" s="79"/>
      <c r="F1117" s="79"/>
      <c r="G1117" s="79"/>
    </row>
    <row r="1118" spans="1:7" x14ac:dyDescent="0.25">
      <c r="A1118" s="52"/>
      <c r="B1118" s="14"/>
      <c r="C1118" s="15"/>
      <c r="D1118" s="15"/>
      <c r="E1118" s="17"/>
      <c r="F1118" s="17"/>
      <c r="G1118" s="17"/>
    </row>
    <row r="1119" spans="1:7" x14ac:dyDescent="0.25">
      <c r="A1119" s="52"/>
      <c r="B1119" s="14"/>
      <c r="C1119" s="15"/>
      <c r="D1119" s="15"/>
      <c r="E1119" s="79"/>
      <c r="F1119" s="79"/>
      <c r="G1119" s="79"/>
    </row>
    <row r="1120" spans="1:7" x14ac:dyDescent="0.25">
      <c r="A1120" s="65"/>
      <c r="B1120" s="14"/>
      <c r="C1120" s="15"/>
      <c r="D1120" s="16"/>
      <c r="E1120" s="79"/>
      <c r="F1120" s="79"/>
      <c r="G1120" s="79"/>
    </row>
    <row r="1121" spans="1:7" x14ac:dyDescent="0.25">
      <c r="A1121" s="52"/>
      <c r="B1121" s="14"/>
      <c r="C1121" s="15"/>
      <c r="D1121" s="16"/>
      <c r="E1121" s="17"/>
      <c r="F1121" s="17"/>
      <c r="G1121" s="17"/>
    </row>
    <row r="1122" spans="1:7" x14ac:dyDescent="0.25">
      <c r="A1122" s="52"/>
      <c r="B1122" s="14"/>
      <c r="C1122" s="15"/>
      <c r="D1122" s="16"/>
      <c r="E1122" s="17"/>
      <c r="F1122" s="17"/>
      <c r="G1122" s="17"/>
    </row>
    <row r="1123" spans="1:7" x14ac:dyDescent="0.25">
      <c r="A1123" s="85"/>
      <c r="B1123" s="9"/>
      <c r="C1123" s="10"/>
      <c r="D1123" s="11"/>
      <c r="E1123" s="90"/>
      <c r="F1123" s="90"/>
      <c r="G1123" s="90"/>
    </row>
    <row r="1124" spans="1:7" x14ac:dyDescent="0.25">
      <c r="A1124" s="85"/>
      <c r="B1124" s="9"/>
      <c r="C1124" s="10"/>
      <c r="D1124" s="11"/>
      <c r="E1124" s="90"/>
      <c r="F1124" s="90"/>
      <c r="G1124" s="90"/>
    </row>
    <row r="1125" spans="1:7" x14ac:dyDescent="0.25">
      <c r="A1125" s="52"/>
      <c r="B1125" s="14"/>
      <c r="C1125" s="15"/>
      <c r="D1125" s="16"/>
      <c r="E1125" s="33"/>
      <c r="F1125" s="33"/>
      <c r="G1125" s="33"/>
    </row>
    <row r="1126" spans="1:7" x14ac:dyDescent="0.25">
      <c r="A1126" s="52"/>
      <c r="B1126" s="14"/>
      <c r="C1126" s="15"/>
      <c r="D1126" s="16"/>
      <c r="E1126" s="33"/>
      <c r="F1126" s="33"/>
      <c r="G1126" s="33"/>
    </row>
    <row r="1127" spans="1:7" x14ac:dyDescent="0.25">
      <c r="A1127" s="52"/>
      <c r="B1127" s="14"/>
      <c r="C1127" s="15"/>
      <c r="D1127" s="16"/>
      <c r="E1127" s="17"/>
      <c r="F1127" s="17"/>
      <c r="G1127" s="17"/>
    </row>
    <row r="1128" spans="1:7" x14ac:dyDescent="0.25">
      <c r="A1128" s="85"/>
      <c r="B1128" s="9"/>
      <c r="C1128" s="10"/>
      <c r="D1128" s="11"/>
      <c r="E1128" s="90"/>
      <c r="F1128" s="90"/>
      <c r="G1128" s="90"/>
    </row>
    <row r="1129" spans="1:7" x14ac:dyDescent="0.25">
      <c r="A1129" s="52"/>
      <c r="B1129" s="14"/>
      <c r="C1129" s="15"/>
      <c r="D1129" s="16"/>
      <c r="E1129" s="33"/>
      <c r="F1129" s="33"/>
      <c r="G1129" s="33"/>
    </row>
    <row r="1130" spans="1:7" x14ac:dyDescent="0.25">
      <c r="A1130" s="13"/>
      <c r="B1130" s="14"/>
      <c r="C1130" s="15"/>
      <c r="D1130" s="16"/>
      <c r="E1130" s="33"/>
      <c r="F1130" s="33"/>
      <c r="G1130" s="33"/>
    </row>
    <row r="1131" spans="1:7" x14ac:dyDescent="0.25">
      <c r="A1131" s="13"/>
      <c r="B1131" s="14"/>
      <c r="C1131" s="15"/>
      <c r="D1131" s="16"/>
      <c r="E1131" s="33"/>
      <c r="F1131" s="33"/>
      <c r="G1131" s="33"/>
    </row>
    <row r="1132" spans="1:7" x14ac:dyDescent="0.25">
      <c r="A1132" s="52"/>
      <c r="B1132" s="14"/>
      <c r="C1132" s="15"/>
      <c r="D1132" s="16"/>
      <c r="E1132" s="33"/>
      <c r="F1132" s="33"/>
      <c r="G1132" s="33"/>
    </row>
    <row r="1133" spans="1:7" x14ac:dyDescent="0.25">
      <c r="A1133" s="52"/>
      <c r="B1133" s="14"/>
      <c r="C1133" s="15"/>
      <c r="D1133" s="16"/>
      <c r="E1133" s="17"/>
      <c r="F1133" s="17"/>
      <c r="G1133" s="17"/>
    </row>
    <row r="1134" spans="1:7" x14ac:dyDescent="0.25">
      <c r="A1134" s="52"/>
      <c r="B1134" s="14"/>
      <c r="C1134" s="15"/>
      <c r="D1134" s="16"/>
      <c r="E1134" s="33"/>
      <c r="F1134" s="33"/>
      <c r="G1134" s="33"/>
    </row>
    <row r="1135" spans="1:7" x14ac:dyDescent="0.25">
      <c r="A1135" s="52"/>
      <c r="B1135" s="14"/>
      <c r="C1135" s="15"/>
      <c r="D1135" s="16"/>
      <c r="E1135" s="17"/>
      <c r="F1135" s="17"/>
      <c r="G1135" s="17"/>
    </row>
    <row r="1136" spans="1:7" x14ac:dyDescent="0.25">
      <c r="A1136" s="19"/>
      <c r="B1136" s="14"/>
      <c r="C1136" s="15"/>
      <c r="D1136" s="16"/>
      <c r="E1136" s="33"/>
      <c r="F1136" s="33"/>
      <c r="G1136" s="33"/>
    </row>
    <row r="1137" spans="1:7" x14ac:dyDescent="0.25">
      <c r="A1137" s="52"/>
      <c r="B1137" s="14"/>
      <c r="C1137" s="15"/>
      <c r="D1137" s="16"/>
      <c r="E1137" s="17"/>
      <c r="F1137" s="17"/>
      <c r="G1137" s="17"/>
    </row>
    <row r="1138" spans="1:7" x14ac:dyDescent="0.25">
      <c r="A1138" s="52"/>
      <c r="B1138" s="14"/>
      <c r="C1138" s="15"/>
      <c r="D1138" s="16"/>
      <c r="E1138" s="33"/>
      <c r="F1138" s="33"/>
      <c r="G1138" s="33"/>
    </row>
    <row r="1139" spans="1:7" x14ac:dyDescent="0.25">
      <c r="A1139" s="52"/>
      <c r="B1139" s="14"/>
      <c r="C1139" s="15"/>
      <c r="D1139" s="16"/>
      <c r="E1139" s="17"/>
      <c r="F1139" s="17"/>
      <c r="G1139" s="17"/>
    </row>
    <row r="1140" spans="1:7" x14ac:dyDescent="0.25">
      <c r="A1140" s="52"/>
      <c r="B1140" s="14"/>
      <c r="C1140" s="15"/>
      <c r="D1140" s="16"/>
      <c r="E1140" s="33"/>
      <c r="F1140" s="33"/>
      <c r="G1140" s="33"/>
    </row>
    <row r="1141" spans="1:7" x14ac:dyDescent="0.25">
      <c r="A1141" s="52"/>
      <c r="B1141" s="14"/>
      <c r="C1141" s="15"/>
      <c r="D1141" s="16"/>
      <c r="E1141" s="17"/>
      <c r="F1141" s="17"/>
      <c r="G1141" s="17"/>
    </row>
    <row r="1142" spans="1:7" x14ac:dyDescent="0.25">
      <c r="A1142" s="13"/>
      <c r="B1142" s="14"/>
      <c r="C1142" s="15"/>
      <c r="D1142" s="16"/>
      <c r="E1142" s="17"/>
      <c r="F1142" s="17"/>
      <c r="G1142" s="17"/>
    </row>
    <row r="1143" spans="1:7" x14ac:dyDescent="0.25">
      <c r="A1143" s="19"/>
      <c r="B1143" s="14"/>
      <c r="C1143" s="15"/>
      <c r="D1143" s="16"/>
      <c r="E1143" s="17"/>
      <c r="F1143" s="17"/>
      <c r="G1143" s="17"/>
    </row>
    <row r="1144" spans="1:7" x14ac:dyDescent="0.25">
      <c r="A1144" s="31"/>
      <c r="B1144" s="67"/>
      <c r="C1144" s="67"/>
      <c r="D1144" s="113"/>
      <c r="E1144" s="79"/>
      <c r="F1144" s="79"/>
      <c r="G1144" s="79"/>
    </row>
    <row r="1145" spans="1:7" x14ac:dyDescent="0.25">
      <c r="A1145" s="96"/>
      <c r="B1145" s="67"/>
      <c r="C1145" s="67"/>
      <c r="D1145" s="113"/>
      <c r="E1145" s="79"/>
      <c r="F1145" s="79"/>
      <c r="G1145" s="79"/>
    </row>
    <row r="1146" spans="1:7" x14ac:dyDescent="0.25">
      <c r="A1146" s="96"/>
      <c r="B1146" s="67"/>
      <c r="C1146" s="67"/>
      <c r="D1146" s="113"/>
      <c r="E1146" s="79"/>
      <c r="F1146" s="79"/>
      <c r="G1146" s="79"/>
    </row>
    <row r="1147" spans="1:7" x14ac:dyDescent="0.25">
      <c r="A1147" s="96"/>
      <c r="B1147" s="67"/>
      <c r="C1147" s="67"/>
      <c r="D1147" s="113"/>
      <c r="E1147" s="79"/>
      <c r="F1147" s="79"/>
      <c r="G1147" s="79"/>
    </row>
    <row r="1148" spans="1:7" x14ac:dyDescent="0.25">
      <c r="A1148" s="52"/>
      <c r="B1148" s="67"/>
      <c r="C1148" s="67"/>
      <c r="D1148" s="113"/>
      <c r="E1148" s="17"/>
      <c r="F1148" s="17"/>
      <c r="G1148" s="17"/>
    </row>
    <row r="1149" spans="1:7" x14ac:dyDescent="0.25">
      <c r="A1149" s="96"/>
      <c r="B1149" s="67"/>
      <c r="C1149" s="67"/>
      <c r="D1149" s="113"/>
      <c r="E1149" s="79"/>
      <c r="F1149" s="79"/>
      <c r="G1149" s="79"/>
    </row>
    <row r="1150" spans="1:7" x14ac:dyDescent="0.25">
      <c r="A1150" s="31"/>
      <c r="B1150" s="67"/>
      <c r="C1150" s="67"/>
      <c r="D1150" s="113"/>
      <c r="E1150" s="79"/>
      <c r="F1150" s="79"/>
      <c r="G1150" s="79"/>
    </row>
    <row r="1151" spans="1:7" x14ac:dyDescent="0.25">
      <c r="A1151" s="31"/>
      <c r="B1151" s="32"/>
      <c r="C1151" s="32"/>
      <c r="D1151" s="35"/>
      <c r="E1151" s="79"/>
      <c r="F1151" s="79"/>
      <c r="G1151" s="79"/>
    </row>
    <row r="1152" spans="1:7" x14ac:dyDescent="0.25">
      <c r="A1152" s="13"/>
      <c r="B1152" s="32"/>
      <c r="C1152" s="32"/>
      <c r="D1152" s="35"/>
      <c r="E1152" s="17"/>
      <c r="F1152" s="17"/>
      <c r="G1152" s="17"/>
    </row>
    <row r="1153" spans="1:7" x14ac:dyDescent="0.25">
      <c r="A1153" s="43"/>
      <c r="B1153" s="32"/>
      <c r="C1153" s="32"/>
      <c r="D1153" s="35"/>
      <c r="E1153" s="17"/>
      <c r="F1153" s="17"/>
      <c r="G1153" s="17"/>
    </row>
    <row r="1154" spans="1:7" x14ac:dyDescent="0.25">
      <c r="A1154" s="43"/>
      <c r="B1154" s="32"/>
      <c r="C1154" s="32"/>
      <c r="D1154" s="35"/>
      <c r="E1154" s="17"/>
      <c r="F1154" s="17"/>
      <c r="G1154" s="17"/>
    </row>
    <row r="1155" spans="1:7" x14ac:dyDescent="0.25">
      <c r="A1155" s="43"/>
      <c r="B1155" s="32"/>
      <c r="C1155" s="113"/>
      <c r="D1155" s="35"/>
      <c r="E1155" s="17"/>
      <c r="F1155" s="17"/>
      <c r="G1155" s="17"/>
    </row>
    <row r="1156" spans="1:7" x14ac:dyDescent="0.25">
      <c r="A1156" s="13"/>
      <c r="B1156" s="32"/>
      <c r="C1156" s="113"/>
      <c r="D1156" s="35"/>
      <c r="E1156" s="17"/>
      <c r="F1156" s="17"/>
      <c r="G1156" s="17"/>
    </row>
    <row r="1157" spans="1:7" x14ac:dyDescent="0.25">
      <c r="A1157" s="87"/>
      <c r="B1157" s="88"/>
      <c r="C1157" s="88"/>
      <c r="D1157" s="88"/>
      <c r="E1157" s="90"/>
      <c r="F1157" s="90"/>
      <c r="G1157" s="90"/>
    </row>
    <row r="1158" spans="1:7" x14ac:dyDescent="0.25">
      <c r="A1158" s="31"/>
      <c r="B1158" s="32"/>
      <c r="C1158" s="32"/>
      <c r="D1158" s="88"/>
      <c r="E1158" s="33"/>
      <c r="F1158" s="33"/>
      <c r="G1158" s="33"/>
    </row>
    <row r="1159" spans="1:7" x14ac:dyDescent="0.25">
      <c r="A1159" s="13"/>
      <c r="B1159" s="32"/>
      <c r="C1159" s="15"/>
      <c r="D1159" s="32"/>
      <c r="E1159" s="33"/>
      <c r="F1159" s="33"/>
      <c r="G1159" s="33"/>
    </row>
    <row r="1160" spans="1:7" x14ac:dyDescent="0.25">
      <c r="A1160" s="19"/>
      <c r="B1160" s="32"/>
      <c r="C1160" s="15"/>
      <c r="D1160" s="32"/>
      <c r="E1160" s="33"/>
      <c r="F1160" s="33"/>
      <c r="G1160" s="33"/>
    </row>
    <row r="1161" spans="1:7" x14ac:dyDescent="0.25">
      <c r="A1161" s="49"/>
      <c r="B1161" s="32"/>
      <c r="C1161" s="15"/>
      <c r="D1161" s="32"/>
      <c r="E1161" s="33"/>
      <c r="F1161" s="33"/>
      <c r="G1161" s="33"/>
    </row>
    <row r="1162" spans="1:7" x14ac:dyDescent="0.25">
      <c r="A1162" s="34"/>
      <c r="B1162" s="32"/>
      <c r="C1162" s="15"/>
      <c r="D1162" s="32"/>
      <c r="E1162" s="17"/>
      <c r="F1162" s="17"/>
      <c r="G1162" s="17"/>
    </row>
    <row r="1163" spans="1:7" x14ac:dyDescent="0.25">
      <c r="A1163" s="43"/>
      <c r="B1163" s="14"/>
      <c r="C1163" s="113"/>
      <c r="D1163" s="16"/>
      <c r="E1163" s="17"/>
      <c r="F1163" s="17"/>
      <c r="G1163" s="17"/>
    </row>
    <row r="1164" spans="1:7" x14ac:dyDescent="0.25">
      <c r="A1164" s="13"/>
      <c r="B1164" s="14"/>
      <c r="C1164" s="113"/>
      <c r="D1164" s="16"/>
      <c r="E1164" s="17"/>
      <c r="F1164" s="17"/>
      <c r="G1164" s="17"/>
    </row>
    <row r="1165" spans="1:7" ht="15.75" x14ac:dyDescent="0.25">
      <c r="A1165" s="50"/>
      <c r="B1165" s="32"/>
      <c r="C1165" s="15"/>
      <c r="D1165" s="32"/>
      <c r="E1165" s="17"/>
      <c r="F1165" s="17"/>
      <c r="G1165" s="17"/>
    </row>
    <row r="1166" spans="1:7" x14ac:dyDescent="0.25">
      <c r="A1166" s="13"/>
      <c r="B1166" s="32"/>
      <c r="C1166" s="15"/>
      <c r="D1166" s="32"/>
      <c r="E1166" s="17"/>
      <c r="F1166" s="17"/>
      <c r="G1166" s="17"/>
    </row>
    <row r="1167" spans="1:7" ht="22.7" customHeight="1" x14ac:dyDescent="0.25">
      <c r="A1167" s="13"/>
      <c r="B1167" s="14"/>
      <c r="C1167" s="15"/>
      <c r="D1167" s="14"/>
      <c r="E1167" s="79"/>
      <c r="F1167" s="79"/>
      <c r="G1167" s="79"/>
    </row>
    <row r="1168" spans="1:7" x14ac:dyDescent="0.25">
      <c r="A1168" s="65"/>
      <c r="B1168" s="14"/>
      <c r="C1168" s="15"/>
      <c r="D1168" s="14"/>
      <c r="E1168" s="79"/>
      <c r="F1168" s="79"/>
      <c r="G1168" s="79"/>
    </row>
    <row r="1169" spans="1:7" x14ac:dyDescent="0.25">
      <c r="A1169" s="65"/>
      <c r="B1169" s="14"/>
      <c r="C1169" s="15"/>
      <c r="D1169" s="14"/>
      <c r="E1169" s="79"/>
      <c r="F1169" s="79"/>
      <c r="G1169" s="79"/>
    </row>
    <row r="1170" spans="1:7" x14ac:dyDescent="0.25">
      <c r="A1170" s="74"/>
      <c r="B1170" s="14"/>
      <c r="C1170" s="15"/>
      <c r="D1170" s="16"/>
      <c r="E1170" s="17"/>
      <c r="F1170" s="17"/>
      <c r="G1170" s="17"/>
    </row>
    <row r="1171" spans="1:7" x14ac:dyDescent="0.25">
      <c r="A1171" s="74"/>
      <c r="B1171" s="14"/>
      <c r="C1171" s="15"/>
      <c r="D1171" s="16"/>
      <c r="E1171" s="17"/>
      <c r="F1171" s="17"/>
      <c r="G1171" s="17"/>
    </row>
    <row r="1172" spans="1:7" x14ac:dyDescent="0.25">
      <c r="A1172" s="74"/>
      <c r="B1172" s="14"/>
      <c r="C1172" s="15"/>
      <c r="D1172" s="16"/>
      <c r="E1172" s="17"/>
      <c r="F1172" s="17"/>
      <c r="G1172" s="17"/>
    </row>
    <row r="1173" spans="1:7" x14ac:dyDescent="0.25">
      <c r="A1173" s="13"/>
      <c r="B1173" s="14"/>
      <c r="C1173" s="15"/>
      <c r="D1173" s="16"/>
      <c r="E1173" s="17"/>
      <c r="F1173" s="17"/>
      <c r="G1173" s="17"/>
    </row>
    <row r="1174" spans="1:7" x14ac:dyDescent="0.25">
      <c r="A1174" s="65"/>
      <c r="B1174" s="14"/>
      <c r="C1174" s="15"/>
      <c r="D1174" s="14"/>
      <c r="E1174" s="94"/>
      <c r="F1174" s="94"/>
      <c r="G1174" s="94"/>
    </row>
    <row r="1175" spans="1:7" x14ac:dyDescent="0.25">
      <c r="A1175" s="107"/>
      <c r="B1175" s="14"/>
      <c r="C1175" s="15"/>
      <c r="D1175" s="14"/>
      <c r="E1175" s="94"/>
      <c r="F1175" s="94"/>
      <c r="G1175" s="94"/>
    </row>
    <row r="1176" spans="1:7" x14ac:dyDescent="0.25">
      <c r="A1176" s="13"/>
      <c r="B1176" s="14"/>
      <c r="C1176" s="15"/>
      <c r="D1176" s="16"/>
      <c r="E1176" s="17"/>
      <c r="F1176" s="17"/>
      <c r="G1176" s="17"/>
    </row>
    <row r="1177" spans="1:7" x14ac:dyDescent="0.25">
      <c r="A1177" s="13"/>
      <c r="B1177" s="14"/>
      <c r="C1177" s="15"/>
      <c r="D1177" s="16"/>
      <c r="E1177" s="17"/>
      <c r="F1177" s="17"/>
      <c r="G1177" s="17"/>
    </row>
    <row r="1178" spans="1:7" x14ac:dyDescent="0.25">
      <c r="A1178" s="13"/>
      <c r="B1178" s="14"/>
      <c r="C1178" s="15"/>
      <c r="D1178" s="16"/>
      <c r="E1178" s="17"/>
      <c r="F1178" s="17"/>
      <c r="G1178" s="17"/>
    </row>
    <row r="1179" spans="1:7" x14ac:dyDescent="0.25">
      <c r="A1179" s="13"/>
      <c r="B1179" s="14"/>
      <c r="C1179" s="15"/>
      <c r="D1179" s="16"/>
      <c r="E1179" s="17"/>
      <c r="F1179" s="17"/>
      <c r="G1179" s="17"/>
    </row>
    <row r="1180" spans="1:7" x14ac:dyDescent="0.25">
      <c r="A1180" s="13"/>
      <c r="B1180" s="14"/>
      <c r="C1180" s="15"/>
      <c r="D1180" s="16"/>
      <c r="E1180" s="17"/>
      <c r="F1180" s="17"/>
      <c r="G1180" s="17"/>
    </row>
    <row r="1181" spans="1:7" x14ac:dyDescent="0.25">
      <c r="A1181" s="13"/>
      <c r="B1181" s="14"/>
      <c r="C1181" s="15"/>
      <c r="D1181" s="16"/>
      <c r="E1181" s="17"/>
      <c r="F1181" s="17"/>
      <c r="G1181" s="17"/>
    </row>
    <row r="1182" spans="1:7" x14ac:dyDescent="0.25">
      <c r="A1182" s="13"/>
      <c r="B1182" s="14"/>
      <c r="C1182" s="15"/>
      <c r="D1182" s="16"/>
      <c r="E1182" s="17"/>
      <c r="F1182" s="17"/>
      <c r="G1182" s="17"/>
    </row>
    <row r="1183" spans="1:7" x14ac:dyDescent="0.25">
      <c r="A1183" s="13"/>
      <c r="B1183" s="14"/>
      <c r="C1183" s="15"/>
      <c r="D1183" s="16"/>
      <c r="E1183" s="17"/>
      <c r="F1183" s="17"/>
      <c r="G1183" s="17"/>
    </row>
    <row r="1184" spans="1:7" x14ac:dyDescent="0.25">
      <c r="A1184" s="13"/>
      <c r="B1184" s="14"/>
      <c r="C1184" s="15"/>
      <c r="D1184" s="16"/>
      <c r="E1184" s="17"/>
      <c r="F1184" s="17"/>
      <c r="G1184" s="17"/>
    </row>
    <row r="1185" spans="1:7" x14ac:dyDescent="0.25">
      <c r="A1185" s="85"/>
      <c r="B1185" s="9"/>
      <c r="C1185" s="10"/>
      <c r="D1185" s="11"/>
      <c r="E1185" s="90"/>
      <c r="F1185" s="90"/>
      <c r="G1185" s="90"/>
    </row>
    <row r="1186" spans="1:7" x14ac:dyDescent="0.25">
      <c r="A1186" s="85"/>
      <c r="B1186" s="9"/>
      <c r="C1186" s="10"/>
      <c r="D1186" s="11"/>
      <c r="E1186" s="90"/>
      <c r="F1186" s="90"/>
      <c r="G1186" s="90"/>
    </row>
    <row r="1187" spans="1:7" x14ac:dyDescent="0.25">
      <c r="A1187" s="13"/>
      <c r="B1187" s="14"/>
      <c r="C1187" s="15"/>
      <c r="D1187" s="16"/>
      <c r="E1187" s="79"/>
      <c r="F1187" s="79"/>
      <c r="G1187" s="79"/>
    </row>
    <row r="1188" spans="1:7" x14ac:dyDescent="0.25">
      <c r="A1188" s="52"/>
      <c r="B1188" s="14"/>
      <c r="C1188" s="15"/>
      <c r="D1188" s="16"/>
      <c r="E1188" s="79"/>
      <c r="F1188" s="79"/>
      <c r="G1188" s="79"/>
    </row>
    <row r="1189" spans="1:7" x14ac:dyDescent="0.25">
      <c r="A1189" s="52"/>
      <c r="B1189" s="14"/>
      <c r="C1189" s="15"/>
      <c r="D1189" s="16"/>
      <c r="E1189" s="79"/>
      <c r="F1189" s="79"/>
      <c r="G1189" s="79"/>
    </row>
    <row r="1190" spans="1:7" x14ac:dyDescent="0.25">
      <c r="A1190" s="52"/>
      <c r="B1190" s="14"/>
      <c r="C1190" s="15"/>
      <c r="D1190" s="16"/>
      <c r="E1190" s="17"/>
      <c r="F1190" s="17"/>
      <c r="G1190" s="17"/>
    </row>
    <row r="1191" spans="1:7" x14ac:dyDescent="0.25">
      <c r="A1191" s="13"/>
      <c r="B1191" s="14"/>
      <c r="C1191" s="15"/>
      <c r="D1191" s="16"/>
      <c r="E1191" s="17"/>
      <c r="F1191" s="17"/>
      <c r="G1191" s="17"/>
    </row>
    <row r="1192" spans="1:7" x14ac:dyDescent="0.25">
      <c r="A1192" s="13"/>
      <c r="B1192" s="14"/>
      <c r="C1192" s="15"/>
      <c r="D1192" s="16"/>
      <c r="E1192" s="17"/>
      <c r="F1192" s="17"/>
      <c r="G1192" s="17"/>
    </row>
    <row r="1193" spans="1:7" x14ac:dyDescent="0.25">
      <c r="A1193" s="85"/>
      <c r="B1193" s="9"/>
      <c r="C1193" s="10"/>
      <c r="D1193" s="11"/>
      <c r="E1193" s="90"/>
      <c r="F1193" s="90"/>
      <c r="G1193" s="90"/>
    </row>
    <row r="1194" spans="1:7" x14ac:dyDescent="0.25">
      <c r="A1194" s="13"/>
      <c r="B1194" s="14"/>
      <c r="C1194" s="15"/>
      <c r="D1194" s="16"/>
      <c r="E1194" s="79"/>
      <c r="F1194" s="79"/>
      <c r="G1194" s="79"/>
    </row>
    <row r="1195" spans="1:7" x14ac:dyDescent="0.25">
      <c r="A1195" s="52"/>
      <c r="B1195" s="14"/>
      <c r="C1195" s="15"/>
      <c r="D1195" s="16"/>
      <c r="E1195" s="79"/>
      <c r="F1195" s="79"/>
      <c r="G1195" s="79"/>
    </row>
    <row r="1196" spans="1:7" x14ac:dyDescent="0.25">
      <c r="A1196" s="52"/>
      <c r="B1196" s="14"/>
      <c r="C1196" s="15"/>
      <c r="D1196" s="16"/>
      <c r="E1196" s="79"/>
      <c r="F1196" s="79"/>
      <c r="G1196" s="79"/>
    </row>
    <row r="1197" spans="1:7" x14ac:dyDescent="0.25">
      <c r="A1197" s="52"/>
      <c r="B1197" s="14"/>
      <c r="C1197" s="15"/>
      <c r="D1197" s="16"/>
      <c r="E1197" s="17"/>
      <c r="F1197" s="17"/>
      <c r="G1197" s="17"/>
    </row>
    <row r="1198" spans="1:7" x14ac:dyDescent="0.25">
      <c r="A1198" s="65"/>
      <c r="B1198" s="14"/>
      <c r="C1198" s="15"/>
      <c r="D1198" s="16"/>
      <c r="E1198" s="79"/>
      <c r="F1198" s="79"/>
      <c r="G1198" s="79"/>
    </row>
    <row r="1199" spans="1:7" x14ac:dyDescent="0.25">
      <c r="A1199" s="52"/>
      <c r="B1199" s="14"/>
      <c r="C1199" s="15"/>
      <c r="D1199" s="16"/>
      <c r="E1199" s="79"/>
      <c r="F1199" s="79"/>
      <c r="G1199" s="79"/>
    </row>
    <row r="1200" spans="1:7" x14ac:dyDescent="0.25">
      <c r="A1200" s="52"/>
      <c r="B1200" s="14"/>
      <c r="C1200" s="15"/>
      <c r="D1200" s="16"/>
      <c r="E1200" s="17"/>
      <c r="F1200" s="17"/>
      <c r="G1200" s="17"/>
    </row>
    <row r="1201" spans="1:7" x14ac:dyDescent="0.25">
      <c r="A1201" s="52"/>
      <c r="B1201" s="14"/>
      <c r="C1201" s="15"/>
      <c r="D1201" s="16"/>
      <c r="E1201" s="17"/>
      <c r="F1201" s="17"/>
      <c r="G1201" s="17"/>
    </row>
    <row r="1202" spans="1:7" x14ac:dyDescent="0.25">
      <c r="A1202" s="34"/>
      <c r="B1202" s="14"/>
      <c r="C1202" s="15"/>
      <c r="D1202" s="16"/>
      <c r="E1202" s="79"/>
      <c r="F1202" s="79"/>
      <c r="G1202" s="79"/>
    </row>
    <row r="1203" spans="1:7" x14ac:dyDescent="0.25">
      <c r="A1203" s="52"/>
      <c r="B1203" s="14"/>
      <c r="C1203" s="15"/>
      <c r="D1203" s="113"/>
      <c r="E1203" s="17"/>
      <c r="F1203" s="17"/>
      <c r="G1203" s="17"/>
    </row>
    <row r="1204" spans="1:7" x14ac:dyDescent="0.25">
      <c r="A1204" s="112"/>
      <c r="B1204" s="14"/>
      <c r="C1204" s="15"/>
      <c r="D1204" s="113"/>
      <c r="E1204" s="79"/>
      <c r="F1204" s="79"/>
      <c r="G1204" s="79"/>
    </row>
    <row r="1205" spans="1:7" x14ac:dyDescent="0.25">
      <c r="A1205" s="13"/>
      <c r="B1205" s="14"/>
      <c r="C1205" s="15"/>
      <c r="D1205" s="35"/>
      <c r="E1205" s="17"/>
      <c r="F1205" s="17"/>
      <c r="G1205" s="17"/>
    </row>
    <row r="1206" spans="1:7" x14ac:dyDescent="0.25">
      <c r="A1206" s="52"/>
      <c r="B1206" s="14"/>
      <c r="C1206" s="15"/>
      <c r="D1206" s="35"/>
      <c r="E1206" s="17"/>
      <c r="F1206" s="17"/>
      <c r="G1206" s="17"/>
    </row>
    <row r="1207" spans="1:7" x14ac:dyDescent="0.25">
      <c r="A1207" s="13"/>
      <c r="B1207" s="14"/>
      <c r="C1207" s="15"/>
      <c r="D1207" s="16"/>
      <c r="E1207" s="79"/>
      <c r="F1207" s="79"/>
      <c r="G1207" s="79"/>
    </row>
    <row r="1208" spans="1:7" s="7" customFormat="1" ht="36.950000000000003" customHeight="1" x14ac:dyDescent="0.25">
      <c r="A1208" s="13"/>
      <c r="B1208" s="14"/>
      <c r="C1208" s="15"/>
      <c r="D1208" s="16"/>
      <c r="E1208" s="17"/>
      <c r="F1208" s="17"/>
      <c r="G1208" s="17"/>
    </row>
    <row r="1209" spans="1:7" s="7" customFormat="1" ht="36.950000000000003" customHeight="1" x14ac:dyDescent="0.25">
      <c r="A1209" s="13"/>
      <c r="B1209" s="14"/>
      <c r="C1209" s="15"/>
      <c r="D1209" s="16"/>
      <c r="E1209" s="17"/>
      <c r="F1209" s="17"/>
      <c r="G1209" s="17"/>
    </row>
    <row r="1210" spans="1:7" s="7" customFormat="1" x14ac:dyDescent="0.25">
      <c r="A1210" s="13"/>
      <c r="B1210" s="14"/>
      <c r="C1210" s="15"/>
      <c r="D1210" s="16"/>
      <c r="E1210" s="17"/>
      <c r="F1210" s="17"/>
      <c r="G1210" s="17"/>
    </row>
    <row r="1211" spans="1:7" s="7" customFormat="1" x14ac:dyDescent="0.25">
      <c r="A1211" s="13"/>
      <c r="B1211" s="14"/>
      <c r="C1211" s="15"/>
      <c r="D1211" s="16"/>
      <c r="E1211" s="17"/>
      <c r="F1211" s="17"/>
      <c r="G1211" s="17"/>
    </row>
    <row r="1212" spans="1:7" x14ac:dyDescent="0.25">
      <c r="A1212" s="114"/>
      <c r="B1212" s="88"/>
      <c r="C1212" s="88"/>
      <c r="D1212" s="89"/>
      <c r="E1212" s="90"/>
      <c r="F1212" s="90"/>
      <c r="G1212" s="90"/>
    </row>
    <row r="1213" spans="1:7" x14ac:dyDescent="0.25">
      <c r="A1213" s="87"/>
      <c r="B1213" s="88"/>
      <c r="C1213" s="88"/>
      <c r="D1213" s="89"/>
      <c r="E1213" s="90"/>
      <c r="F1213" s="90"/>
      <c r="G1213" s="90"/>
    </row>
    <row r="1214" spans="1:7" x14ac:dyDescent="0.25">
      <c r="A1214" s="49"/>
      <c r="B1214" s="32"/>
      <c r="C1214" s="32"/>
      <c r="D1214" s="113"/>
      <c r="E1214" s="79"/>
      <c r="F1214" s="79"/>
      <c r="G1214" s="79"/>
    </row>
    <row r="1215" spans="1:7" x14ac:dyDescent="0.25">
      <c r="A1215" s="34"/>
      <c r="B1215" s="32"/>
      <c r="C1215" s="32"/>
      <c r="D1215" s="32"/>
      <c r="E1215" s="79"/>
      <c r="F1215" s="79"/>
      <c r="G1215" s="79"/>
    </row>
    <row r="1216" spans="1:7" x14ac:dyDescent="0.25">
      <c r="A1216" s="34"/>
      <c r="B1216" s="32"/>
      <c r="C1216" s="32"/>
      <c r="D1216" s="35"/>
      <c r="E1216" s="17"/>
      <c r="F1216" s="17"/>
      <c r="G1216" s="17"/>
    </row>
    <row r="1217" spans="1:7" ht="21.75" customHeight="1" x14ac:dyDescent="0.25">
      <c r="A1217" s="85"/>
      <c r="B1217" s="9"/>
      <c r="C1217" s="10"/>
      <c r="D1217" s="11"/>
      <c r="E1217" s="90"/>
      <c r="F1217" s="90"/>
      <c r="G1217" s="90"/>
    </row>
    <row r="1218" spans="1:7" ht="30" customHeight="1" x14ac:dyDescent="0.25">
      <c r="A1218" s="85"/>
      <c r="B1218" s="9"/>
      <c r="C1218" s="10"/>
      <c r="D1218" s="11"/>
      <c r="E1218" s="90"/>
      <c r="F1218" s="90"/>
      <c r="G1218" s="90"/>
    </row>
    <row r="1219" spans="1:7" x14ac:dyDescent="0.25">
      <c r="A1219" s="52"/>
      <c r="B1219" s="14"/>
      <c r="C1219" s="15"/>
      <c r="D1219" s="16"/>
      <c r="E1219" s="33"/>
      <c r="F1219" s="33"/>
      <c r="G1219" s="33"/>
    </row>
    <row r="1220" spans="1:7" x14ac:dyDescent="0.25">
      <c r="A1220" s="52"/>
      <c r="B1220" s="14"/>
      <c r="C1220" s="15"/>
      <c r="D1220" s="16"/>
      <c r="E1220" s="33"/>
      <c r="F1220" s="33"/>
      <c r="G1220" s="33"/>
    </row>
    <row r="1221" spans="1:7" x14ac:dyDescent="0.25">
      <c r="A1221" s="52"/>
      <c r="B1221" s="14"/>
      <c r="C1221" s="15"/>
      <c r="D1221" s="16"/>
      <c r="E1221" s="115"/>
      <c r="F1221" s="115"/>
      <c r="G1221" s="79"/>
    </row>
    <row r="1222" spans="1:7" x14ac:dyDescent="0.25">
      <c r="A1222" s="52"/>
      <c r="B1222" s="14"/>
      <c r="C1222" s="15"/>
      <c r="D1222" s="16"/>
      <c r="E1222" s="115"/>
      <c r="F1222" s="115"/>
      <c r="G1222" s="79"/>
    </row>
    <row r="1223" spans="1:7" x14ac:dyDescent="0.25">
      <c r="A1223" s="52"/>
      <c r="B1223" s="14"/>
      <c r="C1223" s="15"/>
      <c r="D1223" s="16"/>
      <c r="E1223" s="17"/>
      <c r="F1223" s="17"/>
      <c r="G1223" s="17"/>
    </row>
    <row r="1224" spans="1:7" s="7" customFormat="1" ht="16.5" customHeight="1" x14ac:dyDescent="0.25">
      <c r="A1224" s="8"/>
      <c r="B1224" s="116"/>
      <c r="C1224" s="15"/>
      <c r="D1224" s="117"/>
      <c r="E1224" s="18"/>
      <c r="F1224" s="12"/>
      <c r="G1224" s="12"/>
    </row>
    <row r="1225" spans="1:7" s="7" customFormat="1" ht="15.75" x14ac:dyDescent="0.25">
      <c r="A1225" s="118"/>
      <c r="B1225" s="116"/>
      <c r="C1225" s="15"/>
      <c r="D1225" s="117"/>
      <c r="E1225" s="18"/>
      <c r="F1225" s="79"/>
      <c r="G1225" s="79"/>
    </row>
    <row r="1226" spans="1:7" x14ac:dyDescent="0.25">
      <c r="A1226" s="85"/>
      <c r="B1226" s="10"/>
      <c r="C1226" s="10"/>
      <c r="D1226" s="119"/>
      <c r="E1226" s="90"/>
      <c r="F1226" s="90"/>
      <c r="G1226" s="90"/>
    </row>
    <row r="1227" spans="1:7" x14ac:dyDescent="0.25">
      <c r="A1227" s="120"/>
      <c r="B1227" s="15"/>
      <c r="C1227" s="15"/>
      <c r="D1227" s="117"/>
      <c r="E1227" s="56"/>
      <c r="G1227" s="121"/>
    </row>
    <row r="1228" spans="1:7" x14ac:dyDescent="0.25">
      <c r="A1228" s="85"/>
      <c r="B1228" s="10"/>
      <c r="C1228" s="11"/>
      <c r="D1228" s="122"/>
      <c r="E1228" s="123"/>
      <c r="F1228" s="123"/>
      <c r="G1228" s="123"/>
    </row>
    <row r="1229" spans="1:7" x14ac:dyDescent="0.25">
      <c r="A1229" s="52"/>
      <c r="B1229" s="15"/>
      <c r="C1229" s="16"/>
      <c r="D1229" s="117"/>
      <c r="E1229" s="56"/>
      <c r="F1229" s="56"/>
      <c r="G1229" s="56"/>
    </row>
    <row r="1230" spans="1:7" x14ac:dyDescent="0.25">
      <c r="A1230" s="124"/>
      <c r="B1230" s="15"/>
      <c r="C1230" s="16"/>
      <c r="D1230" s="117"/>
      <c r="E1230" s="56"/>
      <c r="F1230" s="56"/>
      <c r="G1230" s="56"/>
    </row>
    <row r="1231" spans="1:7" x14ac:dyDescent="0.25">
      <c r="A1231" s="125"/>
      <c r="B1231" s="15"/>
      <c r="C1231" s="16"/>
      <c r="D1231" s="117"/>
      <c r="G1231" s="56"/>
    </row>
    <row r="1232" spans="1:7" x14ac:dyDescent="0.25">
      <c r="A1232" s="45"/>
      <c r="B1232" s="15"/>
      <c r="C1232" s="16"/>
      <c r="D1232" s="117"/>
    </row>
    <row r="1233" spans="1:5" x14ac:dyDescent="0.25">
      <c r="A1233" s="120"/>
      <c r="B1233" s="15"/>
      <c r="C1233" s="16"/>
      <c r="D1233" s="117"/>
    </row>
    <row r="1234" spans="1:5" x14ac:dyDescent="0.25">
      <c r="A1234" s="126"/>
      <c r="B1234" s="127"/>
      <c r="C1234" s="89"/>
      <c r="D1234" s="122"/>
    </row>
    <row r="1235" spans="1:5" x14ac:dyDescent="0.25">
      <c r="A1235" s="128"/>
      <c r="B1235" s="10"/>
      <c r="C1235" s="11"/>
      <c r="D1235" s="122"/>
    </row>
    <row r="1236" spans="1:5" x14ac:dyDescent="0.25">
      <c r="A1236" s="120"/>
      <c r="B1236" s="15"/>
      <c r="C1236" s="16"/>
      <c r="D1236" s="117"/>
    </row>
    <row r="1237" spans="1:5" x14ac:dyDescent="0.25">
      <c r="A1237" s="120"/>
      <c r="B1237" s="15"/>
      <c r="C1237" s="16"/>
      <c r="D1237" s="117"/>
    </row>
    <row r="1238" spans="1:5" x14ac:dyDescent="0.25">
      <c r="A1238" s="120"/>
      <c r="B1238" s="15"/>
      <c r="C1238" s="16"/>
      <c r="D1238" s="117"/>
    </row>
    <row r="1239" spans="1:5" x14ac:dyDescent="0.25">
      <c r="A1239" s="128"/>
      <c r="B1239" s="10"/>
      <c r="C1239" s="11"/>
      <c r="D1239" s="122"/>
      <c r="E1239" s="7"/>
    </row>
    <row r="1240" spans="1:5" x14ac:dyDescent="0.25">
      <c r="A1240" s="120"/>
      <c r="B1240" s="15"/>
      <c r="C1240" s="16"/>
      <c r="D1240" s="117"/>
    </row>
    <row r="1241" spans="1:5" x14ac:dyDescent="0.25">
      <c r="A1241" s="120"/>
      <c r="B1241" s="15"/>
      <c r="C1241" s="16"/>
      <c r="D1241" s="117"/>
    </row>
    <row r="1242" spans="1:5" x14ac:dyDescent="0.25">
      <c r="A1242" s="120"/>
      <c r="B1242" s="15"/>
      <c r="C1242" s="16"/>
      <c r="D1242" s="117"/>
    </row>
    <row r="1243" spans="1:5" x14ac:dyDescent="0.25">
      <c r="A1243" s="120"/>
      <c r="B1243" s="15"/>
      <c r="C1243" s="16"/>
      <c r="D1243" s="117"/>
    </row>
    <row r="1244" spans="1:5" x14ac:dyDescent="0.25">
      <c r="A1244" s="120"/>
      <c r="B1244" s="15"/>
      <c r="C1244" s="16"/>
      <c r="D1244" s="117"/>
    </row>
    <row r="1245" spans="1:5" x14ac:dyDescent="0.25">
      <c r="A1245" s="129"/>
      <c r="B1245" s="15"/>
      <c r="C1245" s="16"/>
      <c r="D1245" s="117"/>
    </row>
    <row r="1246" spans="1:5" x14ac:dyDescent="0.25">
      <c r="A1246" s="120"/>
      <c r="B1246" s="15"/>
      <c r="C1246" s="16"/>
      <c r="D1246" s="117"/>
    </row>
    <row r="1247" spans="1:5" x14ac:dyDescent="0.25">
      <c r="A1247" s="120"/>
      <c r="B1247" s="15"/>
      <c r="C1247" s="16"/>
      <c r="D1247" s="117"/>
    </row>
    <row r="1248" spans="1:5" x14ac:dyDescent="0.25">
      <c r="A1248" s="120"/>
      <c r="B1248" s="15"/>
      <c r="C1248" s="16"/>
      <c r="D1248" s="117"/>
    </row>
    <row r="1249" spans="1:4" x14ac:dyDescent="0.25">
      <c r="A1249" s="120"/>
      <c r="B1249" s="15"/>
      <c r="C1249" s="16"/>
      <c r="D1249" s="117"/>
    </row>
    <row r="1250" spans="1:4" x14ac:dyDescent="0.25">
      <c r="A1250" s="120"/>
      <c r="B1250" s="15"/>
      <c r="C1250" s="16"/>
      <c r="D1250" s="117"/>
    </row>
    <row r="1251" spans="1:4" x14ac:dyDescent="0.25">
      <c r="A1251" s="120"/>
      <c r="B1251" s="15"/>
      <c r="C1251" s="16"/>
      <c r="D1251" s="117"/>
    </row>
    <row r="1252" spans="1:4" x14ac:dyDescent="0.25">
      <c r="A1252" s="124"/>
      <c r="B1252" s="15"/>
      <c r="C1252" s="16"/>
      <c r="D1252" s="117"/>
    </row>
    <row r="1253" spans="1:4" x14ac:dyDescent="0.25">
      <c r="A1253" s="130"/>
      <c r="B1253" s="15"/>
      <c r="C1253" s="16"/>
      <c r="D1253" s="117"/>
    </row>
    <row r="1254" spans="1:4" x14ac:dyDescent="0.25">
      <c r="A1254" s="52"/>
      <c r="B1254" s="15"/>
      <c r="C1254" s="16"/>
      <c r="D1254" s="117"/>
    </row>
    <row r="1255" spans="1:4" x14ac:dyDescent="0.25">
      <c r="A1255" s="131"/>
      <c r="B1255" s="132"/>
      <c r="C1255" s="48"/>
      <c r="D1255" s="117"/>
    </row>
    <row r="1256" spans="1:4" x14ac:dyDescent="0.25">
      <c r="A1256" s="131"/>
      <c r="B1256" s="132"/>
      <c r="C1256" s="48"/>
      <c r="D1256" s="117"/>
    </row>
    <row r="1257" spans="1:4" x14ac:dyDescent="0.25">
      <c r="A1257" s="131"/>
      <c r="B1257" s="132"/>
      <c r="C1257" s="48"/>
      <c r="D1257" s="117"/>
    </row>
    <row r="1258" spans="1:4" x14ac:dyDescent="0.25">
      <c r="A1258" s="120"/>
      <c r="B1258" s="132"/>
      <c r="C1258" s="48"/>
      <c r="D1258" s="117"/>
    </row>
    <row r="1259" spans="1:4" x14ac:dyDescent="0.25">
      <c r="A1259" s="131"/>
      <c r="B1259" s="132"/>
      <c r="C1259" s="48"/>
      <c r="D1259" s="117"/>
    </row>
    <row r="1260" spans="1:4" x14ac:dyDescent="0.25">
      <c r="A1260" s="130"/>
      <c r="B1260" s="47"/>
      <c r="C1260" s="48"/>
      <c r="D1260" s="117"/>
    </row>
    <row r="1261" spans="1:4" x14ac:dyDescent="0.25">
      <c r="A1261" s="120"/>
      <c r="B1261" s="47"/>
      <c r="C1261" s="48"/>
      <c r="D1261" s="117"/>
    </row>
    <row r="1262" spans="1:4" x14ac:dyDescent="0.25">
      <c r="A1262" s="131"/>
      <c r="B1262" s="132"/>
      <c r="C1262" s="48"/>
      <c r="D1262" s="117"/>
    </row>
    <row r="1263" spans="1:4" x14ac:dyDescent="0.25">
      <c r="A1263" s="133"/>
      <c r="B1263" s="132"/>
      <c r="C1263" s="48"/>
      <c r="D1263" s="117"/>
    </row>
    <row r="1264" spans="1:4" x14ac:dyDescent="0.25">
      <c r="A1264" s="133"/>
      <c r="B1264" s="132"/>
      <c r="C1264" s="48"/>
      <c r="D1264" s="117"/>
    </row>
    <row r="1265" spans="1:4" x14ac:dyDescent="0.25">
      <c r="A1265" s="133"/>
      <c r="B1265" s="132"/>
      <c r="C1265" s="48"/>
      <c r="D1265" s="117"/>
    </row>
    <row r="1266" spans="1:4" x14ac:dyDescent="0.25">
      <c r="A1266" s="134"/>
      <c r="B1266" s="47"/>
      <c r="C1266" s="48"/>
      <c r="D1266" s="117"/>
    </row>
    <row r="1267" spans="1:4" x14ac:dyDescent="0.25">
      <c r="A1267" s="133"/>
      <c r="B1267" s="47"/>
      <c r="C1267" s="48"/>
      <c r="D1267" s="117"/>
    </row>
    <row r="1268" spans="1:4" x14ac:dyDescent="0.25">
      <c r="A1268" s="126"/>
      <c r="B1268" s="127"/>
      <c r="C1268" s="88"/>
      <c r="D1268" s="122"/>
    </row>
    <row r="1269" spans="1:4" x14ac:dyDescent="0.25">
      <c r="A1269" s="120"/>
      <c r="B1269" s="15"/>
      <c r="C1269" s="88"/>
      <c r="D1269" s="117"/>
    </row>
    <row r="1270" spans="1:4" x14ac:dyDescent="0.25">
      <c r="A1270" s="135"/>
      <c r="B1270" s="15"/>
      <c r="C1270" s="47"/>
      <c r="D1270" s="117"/>
    </row>
    <row r="1271" spans="1:4" x14ac:dyDescent="0.25">
      <c r="A1271" s="134"/>
      <c r="B1271" s="15"/>
      <c r="C1271" s="47"/>
      <c r="D1271" s="117"/>
    </row>
    <row r="1272" spans="1:4" x14ac:dyDescent="0.25">
      <c r="A1272" s="45"/>
      <c r="B1272" s="15"/>
      <c r="C1272" s="47"/>
      <c r="D1272" s="117"/>
    </row>
    <row r="1273" spans="1:4" x14ac:dyDescent="0.25">
      <c r="A1273" s="120"/>
      <c r="B1273" s="15"/>
      <c r="C1273" s="47"/>
      <c r="D1273" s="117"/>
    </row>
    <row r="1274" spans="1:4" x14ac:dyDescent="0.25">
      <c r="A1274" s="133"/>
      <c r="B1274" s="15"/>
      <c r="C1274" s="47"/>
      <c r="D1274" s="117"/>
    </row>
    <row r="1275" spans="1:4" x14ac:dyDescent="0.25">
      <c r="A1275" s="120"/>
      <c r="B1275" s="15"/>
      <c r="C1275" s="14"/>
      <c r="D1275" s="117"/>
    </row>
    <row r="1276" spans="1:4" x14ac:dyDescent="0.25">
      <c r="A1276" s="129"/>
      <c r="B1276" s="15"/>
      <c r="C1276" s="14"/>
      <c r="D1276" s="117"/>
    </row>
    <row r="1277" spans="1:4" x14ac:dyDescent="0.25">
      <c r="A1277" s="135"/>
      <c r="B1277" s="15"/>
      <c r="C1277" s="16"/>
      <c r="D1277" s="117"/>
    </row>
    <row r="1278" spans="1:4" x14ac:dyDescent="0.25">
      <c r="A1278" s="120"/>
      <c r="B1278" s="15"/>
      <c r="C1278" s="16"/>
      <c r="D1278" s="117"/>
    </row>
    <row r="1279" spans="1:4" x14ac:dyDescent="0.25">
      <c r="A1279" s="129"/>
      <c r="B1279" s="15"/>
      <c r="C1279" s="14"/>
      <c r="D1279" s="117"/>
    </row>
    <row r="1280" spans="1:4" x14ac:dyDescent="0.25">
      <c r="A1280" s="54"/>
      <c r="B1280" s="15"/>
      <c r="C1280" s="16"/>
      <c r="D1280" s="117"/>
    </row>
    <row r="1281" spans="1:4" x14ac:dyDescent="0.25">
      <c r="A1281" s="52"/>
      <c r="B1281" s="15"/>
      <c r="C1281" s="16"/>
      <c r="D1281" s="117"/>
    </row>
    <row r="1282" spans="1:4" x14ac:dyDescent="0.25">
      <c r="A1282" s="120"/>
      <c r="B1282" s="15"/>
      <c r="C1282" s="16"/>
      <c r="D1282" s="117"/>
    </row>
    <row r="1283" spans="1:4" x14ac:dyDescent="0.25">
      <c r="A1283" s="136"/>
      <c r="B1283" s="15"/>
      <c r="C1283" s="16"/>
      <c r="D1283" s="117"/>
    </row>
    <row r="1284" spans="1:4" x14ac:dyDescent="0.25">
      <c r="A1284" s="52"/>
      <c r="B1284" s="15"/>
      <c r="C1284" s="16"/>
      <c r="D1284" s="117"/>
    </row>
    <row r="1285" spans="1:4" x14ac:dyDescent="0.25">
      <c r="A1285" s="120"/>
      <c r="B1285" s="15"/>
      <c r="C1285" s="16"/>
      <c r="D1285" s="117"/>
    </row>
    <row r="1286" spans="1:4" x14ac:dyDescent="0.25">
      <c r="A1286" s="136"/>
      <c r="B1286" s="15"/>
      <c r="C1286" s="16"/>
      <c r="D1286" s="117"/>
    </row>
    <row r="1287" spans="1:4" x14ac:dyDescent="0.25">
      <c r="A1287" s="52"/>
      <c r="B1287" s="15"/>
      <c r="C1287" s="16"/>
      <c r="D1287" s="117"/>
    </row>
    <row r="1288" spans="1:4" x14ac:dyDescent="0.25">
      <c r="A1288" s="120"/>
      <c r="B1288" s="15"/>
      <c r="C1288" s="16"/>
      <c r="D1288" s="117"/>
    </row>
    <row r="1289" spans="1:4" x14ac:dyDescent="0.25">
      <c r="A1289" s="128"/>
      <c r="B1289" s="10"/>
      <c r="C1289" s="11"/>
      <c r="D1289" s="122"/>
    </row>
    <row r="1290" spans="1:4" x14ac:dyDescent="0.25">
      <c r="A1290" s="128"/>
      <c r="B1290" s="10"/>
      <c r="C1290" s="11"/>
      <c r="D1290" s="122"/>
    </row>
    <row r="1291" spans="1:4" x14ac:dyDescent="0.25">
      <c r="A1291" s="120"/>
      <c r="B1291" s="15"/>
      <c r="C1291" s="16"/>
      <c r="D1291" s="117"/>
    </row>
    <row r="1292" spans="1:4" x14ac:dyDescent="0.25">
      <c r="A1292" s="129"/>
      <c r="B1292" s="15"/>
      <c r="C1292" s="16"/>
      <c r="D1292" s="117"/>
    </row>
    <row r="1293" spans="1:4" x14ac:dyDescent="0.25">
      <c r="A1293" s="120"/>
      <c r="B1293" s="15"/>
      <c r="C1293" s="16"/>
      <c r="D1293" s="117"/>
    </row>
    <row r="1294" spans="1:4" x14ac:dyDescent="0.25">
      <c r="A1294" s="128"/>
      <c r="B1294" s="10"/>
      <c r="C1294" s="11"/>
      <c r="D1294" s="122"/>
    </row>
    <row r="1295" spans="1:4" x14ac:dyDescent="0.25">
      <c r="A1295" s="120"/>
      <c r="B1295" s="15"/>
      <c r="C1295" s="16"/>
      <c r="D1295" s="117"/>
    </row>
    <row r="1296" spans="1:4" x14ac:dyDescent="0.25">
      <c r="A1296" s="120"/>
      <c r="B1296" s="15"/>
      <c r="C1296" s="16"/>
      <c r="D1296" s="117"/>
    </row>
    <row r="1297" spans="1:4" x14ac:dyDescent="0.25">
      <c r="A1297" s="120"/>
      <c r="B1297" s="15"/>
      <c r="C1297" s="16"/>
      <c r="D1297" s="117"/>
    </row>
    <row r="1298" spans="1:4" x14ac:dyDescent="0.25">
      <c r="A1298" s="120"/>
      <c r="B1298" s="15"/>
      <c r="C1298" s="16"/>
      <c r="D1298" s="117"/>
    </row>
    <row r="1299" spans="1:4" x14ac:dyDescent="0.25">
      <c r="A1299" s="120"/>
      <c r="B1299" s="15"/>
      <c r="C1299" s="16"/>
      <c r="D1299" s="117"/>
    </row>
    <row r="1300" spans="1:4" x14ac:dyDescent="0.25">
      <c r="A1300" s="120"/>
      <c r="B1300" s="15"/>
      <c r="C1300" s="16"/>
      <c r="D1300" s="117"/>
    </row>
    <row r="1301" spans="1:4" x14ac:dyDescent="0.25">
      <c r="A1301" s="120"/>
      <c r="B1301" s="15"/>
      <c r="C1301" s="16"/>
      <c r="D1301" s="117"/>
    </row>
    <row r="1302" spans="1:4" x14ac:dyDescent="0.25">
      <c r="A1302" s="52"/>
      <c r="B1302" s="15"/>
      <c r="C1302" s="16"/>
      <c r="D1302" s="117"/>
    </row>
    <row r="1303" spans="1:4" x14ac:dyDescent="0.25">
      <c r="A1303" s="45"/>
      <c r="B1303" s="15"/>
      <c r="C1303" s="16"/>
      <c r="D1303" s="117"/>
    </row>
    <row r="1304" spans="1:4" x14ac:dyDescent="0.25">
      <c r="A1304" s="120"/>
      <c r="B1304" s="15"/>
      <c r="C1304" s="16"/>
      <c r="D1304" s="117"/>
    </row>
    <row r="1305" spans="1:4" x14ac:dyDescent="0.25">
      <c r="A1305" s="120"/>
      <c r="B1305" s="15"/>
      <c r="C1305" s="16"/>
      <c r="D1305" s="117"/>
    </row>
    <row r="1306" spans="1:4" x14ac:dyDescent="0.25">
      <c r="A1306" s="137"/>
      <c r="B1306" s="127"/>
      <c r="C1306" s="89"/>
      <c r="D1306" s="122"/>
    </row>
    <row r="1307" spans="1:4" x14ac:dyDescent="0.25">
      <c r="A1307" s="126"/>
      <c r="B1307" s="127"/>
      <c r="C1307" s="89"/>
      <c r="D1307" s="122"/>
    </row>
    <row r="1308" spans="1:4" x14ac:dyDescent="0.25">
      <c r="A1308" s="138"/>
      <c r="B1308" s="132"/>
      <c r="C1308" s="48"/>
      <c r="D1308" s="117"/>
    </row>
    <row r="1309" spans="1:4" x14ac:dyDescent="0.25">
      <c r="A1309" s="133"/>
      <c r="B1309" s="132"/>
      <c r="C1309" s="48"/>
      <c r="D1309" s="117"/>
    </row>
    <row r="1310" spans="1:4" x14ac:dyDescent="0.25">
      <c r="A1310" s="133"/>
      <c r="B1310" s="132"/>
      <c r="C1310" s="48"/>
      <c r="D1310" s="117"/>
    </row>
    <row r="1311" spans="1:4" x14ac:dyDescent="0.25">
      <c r="A1311" s="126"/>
      <c r="B1311" s="127"/>
      <c r="C1311" s="89"/>
      <c r="D1311" s="122"/>
    </row>
    <row r="1312" spans="1:4" x14ac:dyDescent="0.25">
      <c r="A1312" s="138"/>
      <c r="B1312" s="132"/>
      <c r="C1312" s="48"/>
      <c r="D1312" s="117"/>
    </row>
    <row r="1313" spans="1:7" x14ac:dyDescent="0.25">
      <c r="A1313" s="131"/>
      <c r="B1313" s="132"/>
      <c r="C1313" s="48"/>
      <c r="D1313" s="117"/>
    </row>
    <row r="1314" spans="1:7" x14ac:dyDescent="0.25">
      <c r="A1314" s="133"/>
      <c r="B1314" s="132"/>
      <c r="C1314" s="48"/>
      <c r="D1314" s="117"/>
    </row>
    <row r="1315" spans="1:7" x14ac:dyDescent="0.25">
      <c r="A1315" s="128"/>
      <c r="B1315" s="10"/>
      <c r="C1315" s="11"/>
      <c r="D1315" s="122"/>
    </row>
    <row r="1316" spans="1:7" x14ac:dyDescent="0.25">
      <c r="A1316" s="128"/>
      <c r="B1316" s="10"/>
      <c r="C1316" s="11"/>
      <c r="D1316" s="122"/>
    </row>
    <row r="1317" spans="1:7" x14ac:dyDescent="0.25">
      <c r="A1317" s="120"/>
      <c r="B1317" s="15"/>
      <c r="C1317" s="16"/>
      <c r="D1317" s="117"/>
    </row>
    <row r="1318" spans="1:7" x14ac:dyDescent="0.25">
      <c r="A1318" s="120"/>
      <c r="B1318" s="15"/>
      <c r="C1318" s="16"/>
      <c r="D1318" s="117"/>
    </row>
    <row r="1319" spans="1:7" x14ac:dyDescent="0.25">
      <c r="A1319" s="120"/>
      <c r="B1319" s="15"/>
      <c r="C1319" s="16"/>
      <c r="D1319" s="117"/>
    </row>
    <row r="1320" spans="1:7" x14ac:dyDescent="0.25">
      <c r="A1320" s="85"/>
      <c r="B1320" s="85"/>
      <c r="C1320" s="139"/>
      <c r="D1320" s="140"/>
      <c r="E1320" s="158"/>
    </row>
    <row r="1321" spans="1:7" x14ac:dyDescent="0.25">
      <c r="E1321" s="56"/>
    </row>
    <row r="1323" spans="1:7" x14ac:dyDescent="0.25">
      <c r="E1323" s="56"/>
      <c r="F1323" s="56"/>
      <c r="G1323" s="56"/>
    </row>
    <row r="1324" spans="1:7" x14ac:dyDescent="0.25">
      <c r="E1324" s="56"/>
      <c r="F1324" s="56"/>
      <c r="G1324" s="56"/>
    </row>
    <row r="1325" spans="1:7" x14ac:dyDescent="0.25">
      <c r="E1325" s="56"/>
      <c r="F1325" s="56"/>
      <c r="G1325" s="56"/>
    </row>
    <row r="1327" spans="1:7" x14ac:dyDescent="0.25">
      <c r="A1327" s="18"/>
      <c r="C1327" s="18"/>
      <c r="D1327" s="18"/>
      <c r="E1327" s="56"/>
      <c r="F1327" s="56"/>
      <c r="G1327" s="56"/>
    </row>
    <row r="1329" spans="1:7" x14ac:dyDescent="0.25">
      <c r="A1329" s="18"/>
      <c r="C1329" s="18"/>
      <c r="D1329" s="18"/>
      <c r="E1329" s="56"/>
      <c r="F1329" s="56"/>
      <c r="G1329" s="56"/>
    </row>
    <row r="1333" spans="1:7" x14ac:dyDescent="0.25">
      <c r="A1333" s="18"/>
      <c r="C1333" s="18"/>
      <c r="D1333" s="18"/>
      <c r="E1333" s="56"/>
      <c r="F1333" s="56"/>
      <c r="G1333" s="56"/>
    </row>
  </sheetData>
  <mergeCells count="17">
    <mergeCell ref="A10:G10"/>
    <mergeCell ref="A12:A13"/>
    <mergeCell ref="B12:B13"/>
    <mergeCell ref="C12:C13"/>
    <mergeCell ref="D12:D13"/>
    <mergeCell ref="E12:E13"/>
    <mergeCell ref="F12:G12"/>
    <mergeCell ref="C1:G1"/>
    <mergeCell ref="C2:G2"/>
    <mergeCell ref="C3:G3"/>
    <mergeCell ref="C9:E9"/>
    <mergeCell ref="C5:G5"/>
    <mergeCell ref="C6:G6"/>
    <mergeCell ref="C7:G7"/>
    <mergeCell ref="C8:E8"/>
    <mergeCell ref="F8:G8"/>
    <mergeCell ref="F4:G4"/>
  </mergeCells>
  <pageMargins left="0.70866141732283472" right="0.19685039370078741" top="0.35433070866141736" bottom="0.19685039370078741" header="0.31496062992125984" footer="0.15748031496062992"/>
  <pageSetup paperSize="9" scale="70" fitToHeight="1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рпр</vt:lpstr>
      <vt:lpstr>рпр!Заголовки_для_печати</vt:lpstr>
      <vt:lpstr>рпр!Область_печати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VolrjvaS</cp:lastModifiedBy>
  <cp:lastPrinted>2021-03-24T05:45:43Z</cp:lastPrinted>
  <dcterms:created xsi:type="dcterms:W3CDTF">2020-11-02T01:12:32Z</dcterms:created>
  <dcterms:modified xsi:type="dcterms:W3CDTF">2021-03-24T05:45:48Z</dcterms:modified>
</cp:coreProperties>
</file>